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orp\corpdata\Electric_Rates_Group\Proceedings\GRC\2019 GRC P2\2020-2022 GRC P2 - Jan 2020 Refresh\Ch2 - Revenue Allocations\Workpapers\Final_Submitted\"/>
    </mc:Choice>
  </mc:AlternateContent>
  <xr:revisionPtr revIDLastSave="0" documentId="13_ncr:1_{577CE06A-7BC5-4CF7-A950-C6CECA438E6B}" xr6:coauthVersionLast="44" xr6:coauthVersionMax="44" xr10:uidLastSave="{00000000-0000-0000-0000-000000000000}"/>
  <bookViews>
    <workbookView xWindow="-120" yWindow="-120" windowWidth="29040" windowHeight="15840" tabRatio="835" activeTab="1" xr2:uid="{00000000-000D-0000-FFFF-FFFF00000000}"/>
  </bookViews>
  <sheets>
    <sheet name="Description" sheetId="8" r:id="rId1"/>
    <sheet name="Updated PPP - Calculation (NEW)" sheetId="10" r:id="rId2"/>
    <sheet name="Current PPP - Calculation (NEW)" sheetId="19" r:id="rId3"/>
    <sheet name="EE Calculation NEW" sheetId="21" r:id="rId4"/>
    <sheet name="EE Summary" sheetId="7" r:id="rId5"/>
    <sheet name="SGIP Calculation" sheetId="17" r:id="rId6"/>
  </sheets>
  <externalReferences>
    <externalReference r:id="rId7"/>
    <externalReference r:id="rId8"/>
  </externalReferences>
  <definedNames>
    <definedName name="_______ddd5" localSheetId="0" hidden="1">{#N/A,#N/A,FALSE,"trates"}</definedName>
    <definedName name="_______ddd5" hidden="1">{#N/A,#N/A,FALSE,"trates"}</definedName>
    <definedName name="______ddd5" localSheetId="0" hidden="1">{#N/A,#N/A,FALSE,"trates"}</definedName>
    <definedName name="______ddd5" hidden="1">{#N/A,#N/A,FALSE,"trates"}</definedName>
    <definedName name="_____ddd5" localSheetId="0" hidden="1">{#N/A,#N/A,FALSE,"trates"}</definedName>
    <definedName name="_____ddd5" hidden="1">{#N/A,#N/A,FALSE,"trates"}</definedName>
    <definedName name="____ddd5" localSheetId="0" hidden="1">{#N/A,#N/A,FALSE,"trates"}</definedName>
    <definedName name="____ddd5" hidden="1">{#N/A,#N/A,FALSE,"trates"}</definedName>
    <definedName name="___ddd5" localSheetId="0" hidden="1">{#N/A,#N/A,FALSE,"trates"}</definedName>
    <definedName name="___ddd5" hidden="1">{#N/A,#N/A,FALSE,"trates"}</definedName>
    <definedName name="__ddd5" localSheetId="0" hidden="1">{#N/A,#N/A,FALSE,"trates"}</definedName>
    <definedName name="__ddd5" hidden="1">{#N/A,#N/A,FALSE,"trates"}</definedName>
    <definedName name="_AtRisk_SimSetting_AutomaticallyGenerateReports" hidden="1">FALSE</definedName>
    <definedName name="_AtRisk_SimSetting_AutomaticResultsDisplayMode" hidden="1">1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16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ddd5" localSheetId="0" hidden="1">{#N/A,#N/A,FALSE,"trates"}</definedName>
    <definedName name="_ddd5" hidden="1">{#N/A,#N/A,FALSE,"trates"}</definedName>
    <definedName name="_Fill" hidden="1">#REF!</definedName>
    <definedName name="_Key1" hidden="1">#REF!</definedName>
    <definedName name="_Key2" hidden="1">#REF!</definedName>
    <definedName name="_MatInverse_In" hidden="1">#REF!</definedName>
    <definedName name="_MatMult_A" hidden="1">#REF!</definedName>
    <definedName name="_MatMult_AxB" hidden="1">#REF!</definedName>
    <definedName name="_MatMult_B" hidden="1">#REF!</definedName>
    <definedName name="_Order1" hidden="1">255</definedName>
    <definedName name="_Order2" hidden="1">0</definedName>
    <definedName name="_Parse_In" hidden="1">#REF!</definedName>
    <definedName name="_Parse_Out" hidden="1">#REF!</definedName>
    <definedName name="_Sort" hidden="1">#REF!</definedName>
    <definedName name="anscount" hidden="1">1</definedName>
    <definedName name="dddd">[1]Level2!$K$2</definedName>
    <definedName name="dummy1" localSheetId="0" hidden="1">{#N/A,#N/A,FALSE,"trates"}</definedName>
    <definedName name="dummy1" hidden="1">{#N/A,#N/A,FALSE,"trates"}</definedName>
    <definedName name="dummy2" localSheetId="0" hidden="1">{#N/A,#N/A,FALSE,"trates"}</definedName>
    <definedName name="dummy2" hidden="1">{#N/A,#N/A,FALSE,"trates"}</definedName>
    <definedName name="dummy3" localSheetId="0" hidden="1">{#N/A,#N/A,FALSE,"trates"}</definedName>
    <definedName name="dummy3" hidden="1">{#N/A,#N/A,FALSE,"trates"}</definedName>
    <definedName name="dummy4" localSheetId="0" hidden="1">{#N/A,#N/A,FALSE,"trates"}</definedName>
    <definedName name="dummy4" hidden="1">{#N/A,#N/A,FALSE,"trates"}</definedName>
    <definedName name="dummy5" localSheetId="0" hidden="1">{#N/A,#N/A,FALSE,"trates"}</definedName>
    <definedName name="dummy5" hidden="1">{#N/A,#N/A,FALSE,"trates"}</definedName>
    <definedName name="InvoiceType">[2]Level2!$K$2</definedName>
    <definedName name="jjj" hidden="1">#REF!</definedName>
    <definedName name="jkl" localSheetId="0" hidden="1">{#N/A,#N/A,FALSE,"trates"}</definedName>
    <definedName name="jkl" hidden="1">{#N/A,#N/A,FALSE,"trates"}</definedName>
    <definedName name="limcount" hidden="1">1</definedName>
    <definedName name="_xlnm.Print_Area" localSheetId="0">#REF!</definedName>
    <definedName name="_xlnm.Print_Area">#REF!</definedName>
    <definedName name="Print_Area_MI" localSheetId="2">#REF!</definedName>
    <definedName name="Print_Area_MI" localSheetId="0">#REF!</definedName>
    <definedName name="Print_Area_MI" localSheetId="1">#REF!</definedName>
    <definedName name="Print_Area_MI">#REF!</definedName>
    <definedName name="Print_Area2" localSheetId="0">#REF!</definedName>
    <definedName name="Print_Area2">#REF!</definedName>
    <definedName name="RiskAfterRecalcMacro" hidden="1">"'10 Year Model.xls'!RiskSim"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1000</definedName>
    <definedName name="RiskNumSimulations" hidden="1">1</definedName>
    <definedName name="RiskPauseOnError" hidden="1">FALSE</definedName>
    <definedName name="RiskRunAfterRecalcMacro" hidden="1">TRUE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FALSE</definedName>
    <definedName name="sencount" hidden="1">2</definedName>
    <definedName name="wrn.BL." localSheetId="2" hidden="1">{#N/A,#N/A,FALSE,"trates"}</definedName>
    <definedName name="wrn.BL." localSheetId="0" hidden="1">{#N/A,#N/A,FALSE,"trates"}</definedName>
    <definedName name="wrn.BL." localSheetId="1" hidden="1">{#N/A,#N/A,FALSE,"trates"}</definedName>
    <definedName name="wrn.BL." hidden="1">{#N/A,#N/A,FALSE,"trates"}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08" i="19" l="1"/>
  <c r="F321" i="19" l="1"/>
  <c r="F313" i="19"/>
  <c r="F323" i="19" s="1"/>
  <c r="F319" i="19"/>
  <c r="F317" i="19"/>
  <c r="F315" i="19"/>
  <c r="C314" i="10"/>
  <c r="C323" i="19" l="1"/>
  <c r="C159" i="19"/>
  <c r="C131" i="19"/>
  <c r="C112" i="19"/>
  <c r="C95" i="19"/>
  <c r="C62" i="19"/>
  <c r="C311" i="19"/>
  <c r="G321" i="19" l="1"/>
  <c r="G313" i="19"/>
  <c r="G317" i="19"/>
  <c r="G315" i="19"/>
  <c r="G319" i="19"/>
  <c r="G323" i="19"/>
  <c r="E323" i="19"/>
  <c r="C317" i="10" l="1"/>
  <c r="H11" i="21" l="1"/>
  <c r="B9" i="21" s="1"/>
  <c r="H32" i="21" l="1"/>
  <c r="B11" i="21" s="1"/>
  <c r="H66" i="21"/>
  <c r="H72" i="21"/>
  <c r="H86" i="21"/>
  <c r="H18" i="21"/>
  <c r="B10" i="21" s="1"/>
  <c r="C17" i="7" l="1"/>
  <c r="H58" i="21" l="1"/>
  <c r="B12" i="21" s="1"/>
  <c r="B13" i="21"/>
  <c r="B15" i="21"/>
  <c r="B14" i="21"/>
  <c r="H87" i="21" l="1"/>
  <c r="B16" i="21"/>
  <c r="C278" i="10" l="1"/>
  <c r="C237" i="10"/>
  <c r="C196" i="10"/>
  <c r="C123" i="10"/>
  <c r="C152" i="10" l="1"/>
  <c r="C150" i="10"/>
  <c r="C105" i="10"/>
  <c r="C88" i="10"/>
  <c r="C55" i="10"/>
  <c r="C186" i="19"/>
  <c r="C145" i="19"/>
  <c r="F104" i="19"/>
  <c r="C100" i="19"/>
  <c r="F87" i="19"/>
  <c r="C83" i="19"/>
  <c r="C50" i="19"/>
  <c r="F91" i="19" l="1"/>
  <c r="F106" i="19"/>
  <c r="C191" i="10"/>
  <c r="C214" i="10" s="1"/>
  <c r="F108" i="19"/>
  <c r="F127" i="19"/>
  <c r="C8" i="19"/>
  <c r="F125" i="19"/>
  <c r="E95" i="19"/>
  <c r="F89" i="19"/>
  <c r="F93" i="19"/>
  <c r="G25" i="19"/>
  <c r="F62" i="19"/>
  <c r="E131" i="19"/>
  <c r="F123" i="19"/>
  <c r="E244" i="19"/>
  <c r="C47" i="19"/>
  <c r="G203" i="19"/>
  <c r="C227" i="19"/>
  <c r="C268" i="19"/>
  <c r="C297" i="19" s="1"/>
  <c r="G285" i="19"/>
  <c r="F85" i="19"/>
  <c r="G159" i="19"/>
  <c r="E112" i="19"/>
  <c r="C13" i="10"/>
  <c r="C232" i="10"/>
  <c r="C52" i="10"/>
  <c r="C273" i="10"/>
  <c r="G208" i="10"/>
  <c r="C171" i="19"/>
  <c r="C167" i="19"/>
  <c r="C169" i="19"/>
  <c r="C165" i="19"/>
  <c r="C217" i="19"/>
  <c r="C213" i="19"/>
  <c r="C209" i="19"/>
  <c r="C215" i="19"/>
  <c r="C211" i="19"/>
  <c r="F102" i="19"/>
  <c r="F110" i="19"/>
  <c r="F121" i="19"/>
  <c r="F129" i="19"/>
  <c r="C11" i="7"/>
  <c r="C8" i="7"/>
  <c r="C72" i="19" l="1"/>
  <c r="C37" i="19"/>
  <c r="C291" i="19"/>
  <c r="C222" i="10"/>
  <c r="C68" i="19"/>
  <c r="C35" i="19"/>
  <c r="C295" i="19"/>
  <c r="C70" i="19"/>
  <c r="C216" i="10"/>
  <c r="C220" i="10"/>
  <c r="C33" i="19"/>
  <c r="C31" i="19"/>
  <c r="C293" i="19"/>
  <c r="C74" i="19"/>
  <c r="C218" i="10"/>
  <c r="E218" i="10" s="1"/>
  <c r="C254" i="19"/>
  <c r="C252" i="19"/>
  <c r="C258" i="19"/>
  <c r="L24" i="19" s="1"/>
  <c r="C256" i="19"/>
  <c r="C250" i="19"/>
  <c r="C173" i="19"/>
  <c r="C219" i="19"/>
  <c r="E213" i="19"/>
  <c r="F213" i="19" s="1"/>
  <c r="L21" i="19" l="1"/>
  <c r="L22" i="19"/>
  <c r="L23" i="19"/>
  <c r="L20" i="19"/>
  <c r="C39" i="19"/>
  <c r="C299" i="19"/>
  <c r="C224" i="10"/>
  <c r="C76" i="19"/>
  <c r="E254" i="19"/>
  <c r="F254" i="19" s="1"/>
  <c r="C260" i="19"/>
  <c r="C336" i="19" l="1"/>
  <c r="L25" i="19"/>
  <c r="B32" i="7"/>
  <c r="M20" i="19" l="1"/>
  <c r="M24" i="19"/>
  <c r="M23" i="19"/>
  <c r="M22" i="19"/>
  <c r="M21" i="19"/>
  <c r="C28" i="7"/>
  <c r="C27" i="7"/>
  <c r="C29" i="7" l="1"/>
  <c r="A7" i="8" l="1"/>
  <c r="A9" i="8" s="1"/>
  <c r="A11" i="8" s="1"/>
  <c r="A13" i="8" s="1"/>
  <c r="A15" i="8" s="1"/>
  <c r="A17" i="8" s="1"/>
  <c r="A19" i="8" s="1"/>
  <c r="G89" i="19" l="1"/>
  <c r="G106" i="19"/>
  <c r="E56" i="19"/>
  <c r="E72" i="19" s="1"/>
  <c r="G125" i="19"/>
  <c r="H125" i="19" s="1"/>
  <c r="E58" i="19"/>
  <c r="E74" i="19" s="1"/>
  <c r="F155" i="19"/>
  <c r="E171" i="19" s="1"/>
  <c r="F256" i="19"/>
  <c r="F21" i="19"/>
  <c r="E37" i="19" s="1"/>
  <c r="G108" i="19"/>
  <c r="F199" i="19"/>
  <c r="F215" i="19" s="1"/>
  <c r="G91" i="19"/>
  <c r="G127" i="19"/>
  <c r="H127" i="19" s="1"/>
  <c r="F281" i="19"/>
  <c r="E297" i="19" s="1"/>
  <c r="E285" i="19"/>
  <c r="E203" i="19"/>
  <c r="E25" i="19"/>
  <c r="E159" i="19"/>
  <c r="E52" i="19"/>
  <c r="G85" i="19"/>
  <c r="F149" i="19"/>
  <c r="G121" i="19"/>
  <c r="H121" i="19" s="1"/>
  <c r="G102" i="19"/>
  <c r="G93" i="19"/>
  <c r="F201" i="19"/>
  <c r="F217" i="19" s="1"/>
  <c r="F258" i="19"/>
  <c r="G110" i="19"/>
  <c r="G129" i="19"/>
  <c r="H129" i="19" s="1"/>
  <c r="F252" i="19"/>
  <c r="G104" i="19"/>
  <c r="G87" i="19"/>
  <c r="F195" i="19"/>
  <c r="F211" i="19" s="1"/>
  <c r="F17" i="19"/>
  <c r="E33" i="19" s="1"/>
  <c r="F277" i="19"/>
  <c r="E293" i="19" s="1"/>
  <c r="G123" i="19"/>
  <c r="H123" i="19" s="1"/>
  <c r="E54" i="19"/>
  <c r="E70" i="19" s="1"/>
  <c r="F151" i="19"/>
  <c r="E167" i="19" s="1"/>
  <c r="G112" i="19"/>
  <c r="G95" i="19"/>
  <c r="G131" i="19"/>
  <c r="H131" i="19" s="1"/>
  <c r="C339" i="19" l="1"/>
  <c r="C332" i="19"/>
  <c r="C341" i="19"/>
  <c r="H112" i="19"/>
  <c r="J112" i="19" s="1"/>
  <c r="H108" i="19"/>
  <c r="J108" i="19" s="1"/>
  <c r="K108" i="19" s="1"/>
  <c r="H102" i="19"/>
  <c r="J102" i="19" s="1"/>
  <c r="K102" i="19" s="1"/>
  <c r="H104" i="19"/>
  <c r="J104" i="19" s="1"/>
  <c r="K104" i="19" s="1"/>
  <c r="H106" i="19"/>
  <c r="J106" i="19" s="1"/>
  <c r="K106" i="19" s="1"/>
  <c r="F193" i="19"/>
  <c r="C203" i="19"/>
  <c r="F15" i="19"/>
  <c r="C25" i="19"/>
  <c r="E68" i="19"/>
  <c r="E62" i="19"/>
  <c r="E76" i="19" s="1"/>
  <c r="F153" i="19"/>
  <c r="E169" i="19" s="1"/>
  <c r="E165" i="19"/>
  <c r="H110" i="19"/>
  <c r="C285" i="19"/>
  <c r="F275" i="19"/>
  <c r="C244" i="19"/>
  <c r="F260" i="19" s="1"/>
  <c r="F250" i="19"/>
  <c r="F19" i="19"/>
  <c r="E35" i="19" s="1"/>
  <c r="F279" i="19"/>
  <c r="E295" i="19" s="1"/>
  <c r="C337" i="19" l="1"/>
  <c r="C335" i="19"/>
  <c r="F159" i="19"/>
  <c r="E173" i="19" s="1"/>
  <c r="J110" i="19"/>
  <c r="K110" i="19" s="1"/>
  <c r="K112" i="19" s="1"/>
  <c r="L104" i="19"/>
  <c r="L102" i="19"/>
  <c r="L106" i="19"/>
  <c r="F285" i="19"/>
  <c r="E299" i="19" s="1"/>
  <c r="E291" i="19"/>
  <c r="F25" i="19"/>
  <c r="E39" i="19" s="1"/>
  <c r="E31" i="19"/>
  <c r="L108" i="19"/>
  <c r="F209" i="19"/>
  <c r="F203" i="19"/>
  <c r="F219" i="19" s="1"/>
  <c r="C330" i="19" l="1"/>
  <c r="C343" i="19"/>
  <c r="L110" i="19"/>
  <c r="L112" i="19" s="1"/>
  <c r="M104" i="19" l="1"/>
  <c r="N104" i="19" s="1"/>
  <c r="M108" i="19"/>
  <c r="N108" i="19" s="1"/>
  <c r="M106" i="19"/>
  <c r="N106" i="19" s="1"/>
  <c r="M102" i="19"/>
  <c r="N102" i="19" s="1"/>
  <c r="M112" i="19"/>
  <c r="N112" i="19" s="1"/>
  <c r="O112" i="19" s="1"/>
  <c r="M110" i="19"/>
  <c r="N110" i="19" s="1"/>
  <c r="P102" i="19" l="1"/>
  <c r="O102" i="19"/>
  <c r="P106" i="19"/>
  <c r="O106" i="19"/>
  <c r="P110" i="19"/>
  <c r="O110" i="19"/>
  <c r="P108" i="19"/>
  <c r="O108" i="19"/>
  <c r="P104" i="19"/>
  <c r="O104" i="19"/>
  <c r="P112" i="19" l="1"/>
  <c r="F323" i="10" l="1"/>
  <c r="F327" i="10"/>
  <c r="F325" i="10"/>
  <c r="F321" i="10"/>
  <c r="F319" i="10"/>
  <c r="F329" i="10" l="1"/>
  <c r="E329" i="10"/>
  <c r="F218" i="10" l="1"/>
  <c r="E30" i="10" l="1"/>
  <c r="E164" i="10"/>
  <c r="E290" i="10"/>
  <c r="C263" i="10" l="1"/>
  <c r="C261" i="10"/>
  <c r="C259" i="10"/>
  <c r="C257" i="10"/>
  <c r="E208" i="10"/>
  <c r="E249" i="10" l="1"/>
  <c r="C255" i="10"/>
  <c r="E259" i="10"/>
  <c r="C342" i="10" s="1"/>
  <c r="F259" i="10" l="1"/>
  <c r="C265" i="10"/>
  <c r="C12" i="7" l="1"/>
  <c r="C20" i="7"/>
  <c r="C9" i="7" s="1"/>
  <c r="C10" i="7" l="1"/>
  <c r="C14" i="7"/>
  <c r="C13" i="7" s="1"/>
  <c r="D9" i="7" s="1"/>
  <c r="E9" i="7" s="1"/>
  <c r="F9" i="7" s="1"/>
  <c r="D12" i="7" l="1"/>
  <c r="E12" i="7" s="1"/>
  <c r="F12" i="7" s="1"/>
  <c r="D8" i="7"/>
  <c r="E8" i="7" s="1"/>
  <c r="F8" i="7" s="1"/>
  <c r="D11" i="7"/>
  <c r="E11" i="7" s="1"/>
  <c r="F11" i="7" s="1"/>
  <c r="D10" i="7"/>
  <c r="E10" i="7" s="1"/>
  <c r="F10" i="7" s="1"/>
  <c r="C15" i="7" l="1"/>
  <c r="G8" i="7"/>
  <c r="G11" i="7"/>
  <c r="G12" i="7"/>
  <c r="G10" i="7"/>
  <c r="G9" i="7" l="1"/>
  <c r="G325" i="10" l="1"/>
  <c r="F204" i="10"/>
  <c r="F220" i="10" s="1"/>
  <c r="F160" i="10"/>
  <c r="F26" i="10"/>
  <c r="F286" i="10"/>
  <c r="F261" i="10"/>
  <c r="G323" i="10" l="1"/>
  <c r="F284" i="10"/>
  <c r="F158" i="10"/>
  <c r="F24" i="10"/>
  <c r="G321" i="10"/>
  <c r="F200" i="10"/>
  <c r="F216" i="10" s="1"/>
  <c r="F156" i="10"/>
  <c r="F22" i="10"/>
  <c r="F257" i="10"/>
  <c r="F282" i="10"/>
  <c r="F154" i="10" l="1"/>
  <c r="F198" i="10"/>
  <c r="F280" i="10"/>
  <c r="F20" i="10"/>
  <c r="F255" i="10"/>
  <c r="G319" i="10"/>
  <c r="F214" i="10" l="1"/>
  <c r="C117" i="10" l="1"/>
  <c r="G117" i="10" s="1"/>
  <c r="C100" i="10"/>
  <c r="G100" i="10" s="1"/>
  <c r="C290" i="10"/>
  <c r="C67" i="10"/>
  <c r="C164" i="10"/>
  <c r="C136" i="10"/>
  <c r="G136" i="10" s="1"/>
  <c r="H136" i="10" s="1"/>
  <c r="C30" i="10"/>
  <c r="F30" i="10" s="1"/>
  <c r="F164" i="10" l="1"/>
  <c r="H117" i="10"/>
  <c r="J117" i="10" s="1"/>
  <c r="G26" i="10"/>
  <c r="C42" i="10" s="1"/>
  <c r="G22" i="10"/>
  <c r="C38" i="10" s="1"/>
  <c r="G24" i="10"/>
  <c r="C40" i="10" s="1"/>
  <c r="G20" i="10"/>
  <c r="E67" i="10"/>
  <c r="F65" i="10" s="1"/>
  <c r="F290" i="10"/>
  <c r="G288" i="10" s="1"/>
  <c r="F206" i="10"/>
  <c r="C208" i="10"/>
  <c r="F263" i="10"/>
  <c r="C249" i="10"/>
  <c r="F265" i="10" s="1"/>
  <c r="G327" i="10"/>
  <c r="C329" i="10"/>
  <c r="G329" i="10" s="1"/>
  <c r="F98" i="10"/>
  <c r="F94" i="10"/>
  <c r="G94" i="10" s="1"/>
  <c r="F90" i="10"/>
  <c r="F92" i="10"/>
  <c r="G92" i="10" s="1"/>
  <c r="F96" i="10"/>
  <c r="G96" i="10" s="1"/>
  <c r="F222" i="10" l="1"/>
  <c r="F208" i="10"/>
  <c r="F224" i="10" s="1"/>
  <c r="G154" i="10"/>
  <c r="C170" i="10" s="1"/>
  <c r="E170" i="10" s="1"/>
  <c r="G156" i="10"/>
  <c r="C172" i="10" s="1"/>
  <c r="E172" i="10" s="1"/>
  <c r="G160" i="10"/>
  <c r="C176" i="10" s="1"/>
  <c r="E176" i="10" s="1"/>
  <c r="G158" i="10"/>
  <c r="C174" i="10" s="1"/>
  <c r="E174" i="10" s="1"/>
  <c r="G162" i="10"/>
  <c r="C36" i="10"/>
  <c r="G30" i="10"/>
  <c r="G90" i="10"/>
  <c r="E100" i="10"/>
  <c r="G286" i="10"/>
  <c r="C302" i="10" s="1"/>
  <c r="E302" i="10" s="1"/>
  <c r="G284" i="10"/>
  <c r="C300" i="10" s="1"/>
  <c r="E300" i="10" s="1"/>
  <c r="G282" i="10"/>
  <c r="C298" i="10" s="1"/>
  <c r="E298" i="10" s="1"/>
  <c r="G280" i="10"/>
  <c r="E38" i="10"/>
  <c r="E40" i="10"/>
  <c r="G98" i="10"/>
  <c r="F59" i="10"/>
  <c r="C75" i="10" s="1"/>
  <c r="E75" i="10" s="1"/>
  <c r="F57" i="10"/>
  <c r="F61" i="10"/>
  <c r="C77" i="10" s="1"/>
  <c r="E77" i="10" s="1"/>
  <c r="F63" i="10"/>
  <c r="C79" i="10" s="1"/>
  <c r="E79" i="10" s="1"/>
  <c r="E42" i="10"/>
  <c r="G164" i="10" l="1"/>
  <c r="E36" i="10"/>
  <c r="C44" i="10"/>
  <c r="C73" i="10"/>
  <c r="F67" i="10"/>
  <c r="G290" i="10"/>
  <c r="C296" i="10"/>
  <c r="C178" i="10" l="1"/>
  <c r="E73" i="10"/>
  <c r="C81" i="10"/>
  <c r="E44" i="10"/>
  <c r="E296" i="10"/>
  <c r="C304" i="10"/>
  <c r="E178" i="10" l="1"/>
  <c r="E304" i="10"/>
  <c r="E81" i="10"/>
  <c r="L26" i="10"/>
  <c r="C349" i="10" l="1"/>
  <c r="F128" i="10" l="1"/>
  <c r="G128" i="10" s="1"/>
  <c r="H128" i="10" s="1"/>
  <c r="F109" i="10"/>
  <c r="F130" i="10"/>
  <c r="G130" i="10" s="1"/>
  <c r="H130" i="10" s="1"/>
  <c r="F111" i="10"/>
  <c r="F115" i="10"/>
  <c r="F134" i="10"/>
  <c r="G134" i="10" s="1"/>
  <c r="H134" i="10" s="1"/>
  <c r="F132" i="10"/>
  <c r="G132" i="10" s="1"/>
  <c r="H132" i="10" s="1"/>
  <c r="F113" i="10"/>
  <c r="G111" i="10" l="1"/>
  <c r="H111" i="10" s="1"/>
  <c r="L23" i="10"/>
  <c r="M23" i="10" s="1"/>
  <c r="G115" i="10"/>
  <c r="L25" i="10"/>
  <c r="M25" i="10" s="1"/>
  <c r="G113" i="10"/>
  <c r="L24" i="10"/>
  <c r="M24" i="10" s="1"/>
  <c r="F126" i="10"/>
  <c r="G126" i="10" s="1"/>
  <c r="H126" i="10" s="1"/>
  <c r="E136" i="10"/>
  <c r="G109" i="10"/>
  <c r="L22" i="10"/>
  <c r="M22" i="10" s="1"/>
  <c r="F107" i="10"/>
  <c r="E117" i="10"/>
  <c r="H109" i="10" l="1"/>
  <c r="J109" i="10" s="1"/>
  <c r="K109" i="10" s="1"/>
  <c r="C338" i="10"/>
  <c r="H113" i="10"/>
  <c r="C345" i="10"/>
  <c r="C343" i="10"/>
  <c r="C341" i="10"/>
  <c r="G107" i="10"/>
  <c r="L21" i="10"/>
  <c r="M21" i="10" s="1"/>
  <c r="C347" i="10"/>
  <c r="H115" i="10"/>
  <c r="J113" i="10"/>
  <c r="K113" i="10" s="1"/>
  <c r="J111" i="10"/>
  <c r="K111" i="10" s="1"/>
  <c r="L111" i="10" s="1"/>
  <c r="H107" i="10" l="1"/>
  <c r="C336" i="10"/>
  <c r="J115" i="10"/>
  <c r="K115" i="10" s="1"/>
  <c r="L113" i="10"/>
  <c r="L109" i="10"/>
  <c r="J107" i="10"/>
  <c r="K107" i="10" s="1"/>
  <c r="K117" i="10" l="1"/>
  <c r="L107" i="10"/>
  <c r="L115" i="10"/>
  <c r="L117" i="10" l="1"/>
  <c r="M107" i="10" s="1"/>
  <c r="N107" i="10" s="1"/>
  <c r="P107" i="10" s="1"/>
  <c r="M115" i="10"/>
  <c r="N115" i="10" s="1"/>
  <c r="O115" i="10" s="1"/>
  <c r="M111" i="10"/>
  <c r="N111" i="10" s="1"/>
  <c r="M113" i="10"/>
  <c r="N113" i="10" s="1"/>
  <c r="M109" i="10" l="1"/>
  <c r="N109" i="10" s="1"/>
  <c r="P115" i="10"/>
  <c r="M117" i="10"/>
  <c r="N117" i="10" s="1"/>
  <c r="O117" i="10" s="1"/>
  <c r="O107" i="10"/>
  <c r="P113" i="10"/>
  <c r="O113" i="10"/>
  <c r="P109" i="10"/>
  <c r="P117" i="10" s="1"/>
  <c r="O109" i="10"/>
  <c r="P111" i="10"/>
  <c r="O111" i="10"/>
</calcChain>
</file>

<file path=xl/sharedStrings.xml><?xml version="1.0" encoding="utf-8"?>
<sst xmlns="http://schemas.openxmlformats.org/spreadsheetml/2006/main" count="804" uniqueCount="313">
  <si>
    <t>Lighting</t>
  </si>
  <si>
    <t>Agricultural</t>
  </si>
  <si>
    <t>Small Commercial</t>
  </si>
  <si>
    <t>Residential</t>
  </si>
  <si>
    <t xml:space="preserve">expenditures to each class </t>
  </si>
  <si>
    <t>Allocation to customer classes based on targeted program</t>
  </si>
  <si>
    <t>Direct Allocation</t>
  </si>
  <si>
    <t>System</t>
  </si>
  <si>
    <t>Agriculture</t>
  </si>
  <si>
    <t>Med. &amp; Large C&amp;I</t>
  </si>
  <si>
    <t xml:space="preserve">Residential </t>
  </si>
  <si>
    <t>Proposed
ME&amp;O &amp; EPEEBA
Rate
($/kWh)</t>
  </si>
  <si>
    <t>Proposed EPEEBA Rate
($/kWh)</t>
  </si>
  <si>
    <t>Revenue
Requirement
EPEEBA
($)</t>
  </si>
  <si>
    <t>EPEEBA Rate Calculation</t>
  </si>
  <si>
    <t>Revenue
Check</t>
  </si>
  <si>
    <t>Rate Cap
Check</t>
  </si>
  <si>
    <t>New Rate</t>
  </si>
  <si>
    <t xml:space="preserve">Revenue
Requirement
Reallocate </t>
  </si>
  <si>
    <t>Re-Allocate</t>
  </si>
  <si>
    <t>Rate Cap</t>
  </si>
  <si>
    <t>Proposed 
EPIC &amp; EE Rate
($/kWh)</t>
  </si>
  <si>
    <t>Proposed 
EE Rate
($/kWh)</t>
  </si>
  <si>
    <t>Revenue
Requirement
EE
($)</t>
  </si>
  <si>
    <t>EE Rate Calculation</t>
  </si>
  <si>
    <t>Proposed EPIC Rate
($/kWh)</t>
  </si>
  <si>
    <t xml:space="preserve">Revenue
Requirement
EPIC
($) </t>
  </si>
  <si>
    <t>EPIC Rate Calculation</t>
  </si>
  <si>
    <t>Non-Low Income Programs</t>
  </si>
  <si>
    <t>Total</t>
  </si>
  <si>
    <t>Proposed
LIEE Surcharge Rate
($/kWh)</t>
  </si>
  <si>
    <t>Revenue Requirement
LIEE
($)</t>
  </si>
  <si>
    <t>Surcharge Calculation</t>
  </si>
  <si>
    <t xml:space="preserve">Total </t>
  </si>
  <si>
    <t>System Total</t>
  </si>
  <si>
    <t>Non-Lighting Sales
(kWh)</t>
  </si>
  <si>
    <t>Total LIEE (ESAP) Program Costs</t>
  </si>
  <si>
    <t>Amortization</t>
  </si>
  <si>
    <t>Funding</t>
  </si>
  <si>
    <t>LIEE (ESAP) Rate Calculation</t>
  </si>
  <si>
    <t>Proposed 
CARE Surcharge Rate
($/KWh)</t>
  </si>
  <si>
    <t>Revenue Requirement
CARE
($)</t>
  </si>
  <si>
    <t>CARE Surcharge Calculation</t>
  </si>
  <si>
    <t>Streetlighting</t>
  </si>
  <si>
    <t>M/L C&amp;I</t>
  </si>
  <si>
    <t>Res</t>
  </si>
  <si>
    <t>Total PPP Allocation</t>
  </si>
  <si>
    <t>Total Rev Req</t>
  </si>
  <si>
    <t>Non-CARE &amp; Non-Lighting
Sales</t>
  </si>
  <si>
    <t>CARE Sales 
(kWh)</t>
  </si>
  <si>
    <t>CARE Program</t>
  </si>
  <si>
    <t>Total CARE Program Costs</t>
  </si>
  <si>
    <t>Funding (Discount)</t>
  </si>
  <si>
    <t>CARE Rate Calculation</t>
  </si>
  <si>
    <t>Low Income Programs</t>
  </si>
  <si>
    <t>EM&amp;V</t>
  </si>
  <si>
    <t>Cross Cutting</t>
  </si>
  <si>
    <t>SDGE3281</t>
  </si>
  <si>
    <t>LGP- Emerging Cities Partnership</t>
  </si>
  <si>
    <t>LGP- SEEC Partnership</t>
  </si>
  <si>
    <t>LGP- SANDAG Partnership</t>
  </si>
  <si>
    <t>LGP- Port of San Diego Partnership</t>
  </si>
  <si>
    <t>LGP- County of San Diego Partnership</t>
  </si>
  <si>
    <t>LGP- City of San Diego Partnership</t>
  </si>
  <si>
    <t>LGP- City of Chula Vista Partnership</t>
  </si>
  <si>
    <t>LInstP-San Diego County Water Authority Partnership</t>
  </si>
  <si>
    <t>LInstP-University of San Diego Partnership</t>
  </si>
  <si>
    <t>SDGE3270</t>
  </si>
  <si>
    <t>LInstP-State of California /IOU</t>
  </si>
  <si>
    <t>SDGE3269</t>
  </si>
  <si>
    <t>LInstP-UC/CSU/IOU Partnership</t>
  </si>
  <si>
    <t>SDGE3268</t>
  </si>
  <si>
    <t>LInstP-California Community College Partnership</t>
  </si>
  <si>
    <t>SDGE3267</t>
  </si>
  <si>
    <t>LInstP-CA Department of Corrections Partnership</t>
  </si>
  <si>
    <t>SDGE3266</t>
  </si>
  <si>
    <t>3P-IDEA</t>
  </si>
  <si>
    <t>SDGE3280</t>
  </si>
  <si>
    <t>3P-Res-Comprehensive Manufactured-Mobile Home</t>
  </si>
  <si>
    <t>SDGE3279</t>
  </si>
  <si>
    <t>SW-AG-Customer Services-Pump Test Services</t>
  </si>
  <si>
    <t>SDGE3235</t>
  </si>
  <si>
    <t>Industrial</t>
  </si>
  <si>
    <t>SW-Ind-Customer Services-Pump Test Services</t>
  </si>
  <si>
    <t>SDGE3291</t>
  </si>
  <si>
    <t>SW-IND-Customer Services-Audits CIEEP</t>
  </si>
  <si>
    <t>SDGE3230</t>
  </si>
  <si>
    <t>Commercial</t>
  </si>
  <si>
    <t>SW-Com-Customer Services-Pump Test Services</t>
  </si>
  <si>
    <t>SDGE3292</t>
  </si>
  <si>
    <t>SW-COM Direct Install</t>
  </si>
  <si>
    <t>SDGE3226</t>
  </si>
  <si>
    <t>SW-COM-Deemed Incentives-HVAC Commercial</t>
  </si>
  <si>
    <t>SDGE3224</t>
  </si>
  <si>
    <t>SW-CALS – Residential HVAC-QI/QM</t>
  </si>
  <si>
    <t>SDGE3212</t>
  </si>
  <si>
    <t>Local-CALS - Middle Income Direct Install (MIDI)</t>
  </si>
  <si>
    <t>SDGE3211</t>
  </si>
  <si>
    <t>SW-FIN-On-Bill Finance</t>
  </si>
  <si>
    <t>SDGE3262</t>
  </si>
  <si>
    <t>SW-IDSM-IDSM</t>
  </si>
  <si>
    <t>SDGE3282</t>
  </si>
  <si>
    <t>Local-IDSM-ME&amp;O-Behavioral Programs (EE)</t>
  </si>
  <si>
    <t>SDGE3261</t>
  </si>
  <si>
    <t>Local-IDSM-ME&amp;O-Local Marketing (EE) Business</t>
  </si>
  <si>
    <t>SDGE3260</t>
  </si>
  <si>
    <t>SDGE3259</t>
  </si>
  <si>
    <t>SW-WE&amp;T-Connections</t>
  </si>
  <si>
    <t>SDGE3255</t>
  </si>
  <si>
    <t>SW-WE&amp;T-Centergies</t>
  </si>
  <si>
    <t>SDGE3254</t>
  </si>
  <si>
    <t>SW-ET-Technology Development Support</t>
  </si>
  <si>
    <t>SDGE3248</t>
  </si>
  <si>
    <t>SW-ET-Technology Assessment Support</t>
  </si>
  <si>
    <t>SDGE3247</t>
  </si>
  <si>
    <t>SW-ET-Technology Introduction Support</t>
  </si>
  <si>
    <t>SDGE3246</t>
  </si>
  <si>
    <t>SW C&amp;S - Planning Coordination</t>
  </si>
  <si>
    <t>SDGE3253</t>
  </si>
  <si>
    <t>SW C&amp;S - Reach Codes</t>
  </si>
  <si>
    <t>SDGE3252</t>
  </si>
  <si>
    <t>SW C&amp;S - Compliance Enhancement</t>
  </si>
  <si>
    <t>SDGE3251</t>
  </si>
  <si>
    <t>SW C&amp;S - Appliance Standards Advocacy</t>
  </si>
  <si>
    <t>SDGE3250</t>
  </si>
  <si>
    <t>SW C&amp;S - Building Codes &amp; Compliance Advocacy</t>
  </si>
  <si>
    <t>SDGE3249</t>
  </si>
  <si>
    <t>SDGE3245</t>
  </si>
  <si>
    <t>SDGE3241</t>
  </si>
  <si>
    <t>SDGE3240</t>
  </si>
  <si>
    <t>SDGE3239</t>
  </si>
  <si>
    <t>SDGE3237</t>
  </si>
  <si>
    <t>SDGE3236</t>
  </si>
  <si>
    <t>SDGE3234</t>
  </si>
  <si>
    <t>SDGE3233</t>
  </si>
  <si>
    <t>SDGE3231</t>
  </si>
  <si>
    <t>SDGE3229</t>
  </si>
  <si>
    <t>SDGE3228</t>
  </si>
  <si>
    <t>SDGE3227</t>
  </si>
  <si>
    <t>SDGE3225</t>
  </si>
  <si>
    <t>SDGE3223</t>
  </si>
  <si>
    <t>SDGE3222</t>
  </si>
  <si>
    <t>M/L</t>
  </si>
  <si>
    <t>SDGE3220</t>
  </si>
  <si>
    <t>Small</t>
  </si>
  <si>
    <t>SDGE3217</t>
  </si>
  <si>
    <t>Current Comm Split</t>
  </si>
  <si>
    <t>SDGE3216</t>
  </si>
  <si>
    <t>SDGE3215</t>
  </si>
  <si>
    <t>Commercial Total</t>
  </si>
  <si>
    <t>SDGE3302</t>
  </si>
  <si>
    <t>SDGE3293</t>
  </si>
  <si>
    <t>SDGE3213</t>
  </si>
  <si>
    <t>Total w/o CC</t>
  </si>
  <si>
    <t>SDGE3209</t>
  </si>
  <si>
    <t>SL</t>
  </si>
  <si>
    <t>Ag</t>
  </si>
  <si>
    <t>SW-CALS-MFEER</t>
  </si>
  <si>
    <t>SDGE3207</t>
  </si>
  <si>
    <t>SDGE3204</t>
  </si>
  <si>
    <t>SDGE3203</t>
  </si>
  <si>
    <t>SDGE3201</t>
  </si>
  <si>
    <t>Total %</t>
  </si>
  <si>
    <t>With CC $</t>
  </si>
  <si>
    <t>$ Before Cross Cutting</t>
  </si>
  <si>
    <t>Market Sector</t>
  </si>
  <si>
    <t>DESCRIPTION</t>
  </si>
  <si>
    <t>Description - This page</t>
  </si>
  <si>
    <t>Updated PPP - Calculation</t>
  </si>
  <si>
    <t>Calculation of Updated PPP Revenue Allocation</t>
  </si>
  <si>
    <t>Calculation of Current PPP Revenue Allocation</t>
  </si>
  <si>
    <t>Current PPP - Calculation</t>
  </si>
  <si>
    <t>EE Calculations</t>
  </si>
  <si>
    <t>EE Summary</t>
  </si>
  <si>
    <t>Authorized Allocation per D.17-08-030</t>
  </si>
  <si>
    <t>FERA Discount</t>
  </si>
  <si>
    <t>FERA Discount Surcharge Calculation</t>
  </si>
  <si>
    <t>Total FERA Program Costs</t>
  </si>
  <si>
    <r>
      <t>FERA Surcharge Calculation</t>
    </r>
    <r>
      <rPr>
        <b/>
        <u/>
        <vertAlign val="superscript"/>
        <sz val="10"/>
        <rFont val="Arial"/>
        <family val="2"/>
      </rPr>
      <t>1</t>
    </r>
  </si>
  <si>
    <t>Revenue Requirement
FERA
($)</t>
  </si>
  <si>
    <t>Proposed 
FERA Surcharge Rate
($/kWh)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</si>
  <si>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Pursuant to D.15-07-001, the FERA discount changed to an effective line-item discount.  Pursuant to AL 2783-E, the FERA discount is being collected in PPP rates, similarly to the CARE discount (non-CARE and non-Lighting). Thus, CARE customers are exempt from paying the FERA discount surcharge.</t>
    </r>
  </si>
  <si>
    <t>Other Programs</t>
  </si>
  <si>
    <t>CSI Rate Calculation</t>
  </si>
  <si>
    <t>Total CSI Program Costs</t>
  </si>
  <si>
    <t>CSI Program</t>
  </si>
  <si>
    <t>CARE/FERA Sales 
(kWh)</t>
  </si>
  <si>
    <t>Non-CARE/FERA
Sales
(kW)</t>
  </si>
  <si>
    <t>NCD Determinants - Class</t>
  </si>
  <si>
    <t>NCD Applicable Determinants</t>
  </si>
  <si>
    <t>Energy Applicable Determinants</t>
  </si>
  <si>
    <t>See to the Right</t>
  </si>
  <si>
    <t>CSI Calculation</t>
  </si>
  <si>
    <t>Revenue Requirement
CSI
($)</t>
  </si>
  <si>
    <t>Proposed 
CSI NCD Rate
($/kW)</t>
  </si>
  <si>
    <t>Proposed 
CSI Energy Rate
($/kWh)</t>
  </si>
  <si>
    <t>*Schedules AL-TOU and AL-TOU2 voltage levels Secondary Substation, Primary Substation, and Transmission receive NCD charge instead of energy; Schedule A6-TOU (all voltage levels) receives NCD charge instead of energy</t>
  </si>
  <si>
    <t>SGIP Rate Calculation</t>
  </si>
  <si>
    <t>SGIP Program</t>
  </si>
  <si>
    <t>SGIP Calculation</t>
  </si>
  <si>
    <t>Revenue Requirement
SGIP
($)</t>
  </si>
  <si>
    <t>Proposed 
SGIP NCD Rate
($/kW)</t>
  </si>
  <si>
    <t>Proposed 
SGIP Energy Rate
($/kWh)</t>
  </si>
  <si>
    <t>Total Rates - Used for Check against Summary Table</t>
  </si>
  <si>
    <t>Residential ($/kWh)</t>
  </si>
  <si>
    <t>Small Commercial ($/kWh)</t>
  </si>
  <si>
    <t>Energy ($/kWh)</t>
  </si>
  <si>
    <t>NCD ($/kW)</t>
  </si>
  <si>
    <t>Energy w/o CSI and SGIP($/kWh)</t>
  </si>
  <si>
    <t>Agriculture ($/kWh)</t>
  </si>
  <si>
    <t>Lighting ($/kW)</t>
  </si>
  <si>
    <t>System ($/kWh)</t>
  </si>
  <si>
    <t xml:space="preserve">DR      </t>
  </si>
  <si>
    <t>ALTOUCP2</t>
  </si>
  <si>
    <t xml:space="preserve">ALTOU   </t>
  </si>
  <si>
    <t xml:space="preserve">DM      </t>
  </si>
  <si>
    <t xml:space="preserve">DRSES   </t>
  </si>
  <si>
    <t xml:space="preserve">EVTOU2  </t>
  </si>
  <si>
    <t xml:space="preserve">TOUDR1  </t>
  </si>
  <si>
    <t xml:space="preserve">PAT1    </t>
  </si>
  <si>
    <t xml:space="preserve">DRLI    </t>
  </si>
  <si>
    <t>Small Comm</t>
  </si>
  <si>
    <t>SGIP Summary</t>
  </si>
  <si>
    <t>SGIP Explained</t>
  </si>
  <si>
    <t>SGIP Full Report</t>
  </si>
  <si>
    <t>SDG&amp;E</t>
  </si>
  <si>
    <t>Plan ID</t>
  </si>
  <si>
    <t>Program Name</t>
  </si>
  <si>
    <t>SW-ME&amp;O  (1)</t>
  </si>
  <si>
    <t>EM&amp;V-Evaluation Measurement &amp; Verification</t>
  </si>
  <si>
    <t>0 Total</t>
  </si>
  <si>
    <t>SW-AG-Customer Services-Benchmarking</t>
  </si>
  <si>
    <t>Public</t>
  </si>
  <si>
    <t>SW-AG-Customer Services-Audits</t>
  </si>
  <si>
    <t>SW-AG-Calculated Incentives-Calculated</t>
  </si>
  <si>
    <t>Grand Total</t>
  </si>
  <si>
    <t>SW-AG-Deemed Incentives</t>
  </si>
  <si>
    <t>SDGE3322</t>
  </si>
  <si>
    <t xml:space="preserve">STREAMLINED AG EFFICIENCY (SAE) PRGM </t>
  </si>
  <si>
    <t>Agricultural Total</t>
  </si>
  <si>
    <t>SW-COM-Continuous Energy Improvement</t>
  </si>
  <si>
    <t>SW-COM-Customer Services-Benchmarking</t>
  </si>
  <si>
    <t>SW-COM-Customer Services- Audits NonRes</t>
  </si>
  <si>
    <t>SW-COM-Calculated Incentives-Calculated</t>
  </si>
  <si>
    <t>SW-COM-Calculated Incentives-Savings by Design</t>
  </si>
  <si>
    <t>SW-COM-Deemed Incentives-Commercial Rebates</t>
  </si>
  <si>
    <t>SW-COM-Deemed Incentives-HVAC Core</t>
  </si>
  <si>
    <t>SDGE3311</t>
  </si>
  <si>
    <t>3P - Energy Advantage Program EAP</t>
  </si>
  <si>
    <t>SDGE3317</t>
  </si>
  <si>
    <t>HOPPs - Building Retro-Commissioning (7)</t>
  </si>
  <si>
    <t>SW-Lighting-Lighting Market Transformation</t>
  </si>
  <si>
    <t>SW-Lighting-Lighting Innovation-ETPC MD</t>
  </si>
  <si>
    <t>SW-Lighting-Primary Lighting</t>
  </si>
  <si>
    <t>Cross Cutting Total</t>
  </si>
  <si>
    <t>SW-IND-Continuous Energy Improvement</t>
  </si>
  <si>
    <t>SW-IND-Customer Services-Benchmarking</t>
  </si>
  <si>
    <t>SW-IND-Customer Services-Audits NonRes</t>
  </si>
  <si>
    <t>SW-IND-Calculated Incentives-Calculated</t>
  </si>
  <si>
    <t>SW-IND-Deemed Incentives</t>
  </si>
  <si>
    <t>Industrial Total</t>
  </si>
  <si>
    <t>Public Total</t>
  </si>
  <si>
    <t>SW-CALS-Energy Advisor-HEES, UAT</t>
  </si>
  <si>
    <t>SW-CALS-Plug Load and Appliances-HEER</t>
  </si>
  <si>
    <t>SW-CALS-Plug Load and Appliances-POS Rebates</t>
  </si>
  <si>
    <t>SW-CALS - EUC WHRP - Advanced</t>
  </si>
  <si>
    <t>SW-CALS - CAHP/ESMH-CA Advanced Homes</t>
  </si>
  <si>
    <t xml:space="preserve">SW-CALS – Residential HVAC-HVAC Core </t>
  </si>
  <si>
    <t>SW-CALS - RESIDENTIAL HVAC UPSTREAM</t>
  </si>
  <si>
    <t>SDGE3318</t>
  </si>
  <si>
    <t>HOPPs - Multi Family (7)</t>
  </si>
  <si>
    <t>Residential Total</t>
  </si>
  <si>
    <t>SW ME&amp;O</t>
  </si>
  <si>
    <t>With EM&amp;O/EM&amp;V $</t>
  </si>
  <si>
    <t>% Before CC &amp; EM&amp;O/EM&amp;V</t>
  </si>
  <si>
    <t>Total w/o EM&amp;O/EM&amp;V</t>
  </si>
  <si>
    <t>Allocation to SL based on current allocation</t>
  </si>
  <si>
    <t xml:space="preserve">The 2018 budget as filed in the 2018 ABAL and approved by Decision 18-05-041 </t>
  </si>
  <si>
    <t>Funding (Discount &amp; Admin Costs)</t>
  </si>
  <si>
    <t>Food Bank Rate Calculation</t>
  </si>
  <si>
    <t>Food Bank Program</t>
  </si>
  <si>
    <r>
      <t>Food Bank Surcharge Calculation</t>
    </r>
    <r>
      <rPr>
        <b/>
        <u/>
        <vertAlign val="superscript"/>
        <sz val="10"/>
        <rFont val="Arial"/>
        <family val="2"/>
      </rPr>
      <t>2</t>
    </r>
  </si>
  <si>
    <t>Revenue Requirement
Food Bank
($)</t>
  </si>
  <si>
    <t>Proposed 
Food Bank Surcharge Rate
($/KWh)</t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</si>
  <si>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Pursuant to D.17-08-030, the Food Bank discount is being collected in PPP rates, similarly to the CARE discount (non-CARE and non-Lighting). Thus, CARE customers are exempt from paying the Food Bank discount surcharge.</t>
    </r>
  </si>
  <si>
    <t xml:space="preserve">Calculation of EE Revenue Allocations </t>
  </si>
  <si>
    <t>SGIP Allocation Calculation</t>
  </si>
  <si>
    <t>Calculation Explained</t>
  </si>
  <si>
    <t>2019 GRC P2 Sales TY 2020
(kWh)</t>
  </si>
  <si>
    <t xml:space="preserve">Proposed Allocation </t>
  </si>
  <si>
    <t>2019 Energy Efficiency Budgets</t>
  </si>
  <si>
    <r>
      <t xml:space="preserve">The 2019 budget as filed in the 2019 ABAL and approved by </t>
    </r>
    <r>
      <rPr>
        <b/>
        <sz val="14"/>
        <color rgb="FFFF0000"/>
        <rFont val="Calibri"/>
        <family val="2"/>
        <scheme val="minor"/>
      </rPr>
      <t xml:space="preserve">Decision 18-05-041 </t>
    </r>
  </si>
  <si>
    <t>SDGE 3271</t>
  </si>
  <si>
    <t>SDGE 3272</t>
  </si>
  <si>
    <t>SDGE 3273</t>
  </si>
  <si>
    <t>SDGE 3274</t>
  </si>
  <si>
    <t>SDGE 3275</t>
  </si>
  <si>
    <t>SDGE 3276</t>
  </si>
  <si>
    <t>SDGE 3277</t>
  </si>
  <si>
    <t>SDGE 3278</t>
  </si>
  <si>
    <t>Water Energy Nexus (WEN) (4)</t>
  </si>
  <si>
    <t>SDGE3324</t>
  </si>
  <si>
    <t>TMNB Rate</t>
  </si>
  <si>
    <t xml:space="preserve">Revenue
Requirement
TMNB
($) </t>
  </si>
  <si>
    <t>Proposed TMNB Rate
($/kWh)</t>
  </si>
  <si>
    <t>Pursuant to D.18-12-003, TMNB is being collected in PPP rates. Allocations are based on using the then-current 12-month coincident peak demand basis that is used for the cost allocation mechanism (CAM)</t>
  </si>
  <si>
    <t>2019 Sales Forecast
(kWh)</t>
  </si>
  <si>
    <t>Tree Mortlity Non-Bypassable Rate Calculation</t>
  </si>
  <si>
    <t>SAN DIEGO GAS &amp; ELECTRIC COMPANY</t>
  </si>
  <si>
    <t xml:space="preserve">REVENUE ALLOCATION WORKPAPERS - CHAPTER 2 </t>
  </si>
  <si>
    <t xml:space="preserve">Rate Schedule </t>
  </si>
  <si>
    <t>Project Amount</t>
  </si>
  <si>
    <t>TEST YEAR 2019 GENERAL RATE CASE PHASE 2, APPLICATION 19-03-002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</si>
</sst>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6" formatCode="&quot;$&quot;#,##0_);[Red]\(&quot;$&quot;#,##0\)"/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000_);[Red]\(&quot;$&quot;#,##0.00000\)"/>
    <numFmt numFmtId="165" formatCode="0.0%"/>
    <numFmt numFmtId="166" formatCode="General_)"/>
    <numFmt numFmtId="167" formatCode="0.000%"/>
    <numFmt numFmtId="168" formatCode="_(* #,##0.00000_);_(* \(#,##0.00000\);_(* &quot;-&quot;??_);_(@_)"/>
    <numFmt numFmtId="169" formatCode="#,##0.00000_);[Red]\(#,##0.00000\)"/>
    <numFmt numFmtId="170" formatCode="_(* #,##0_);_(* \(#,##0\);_(* &quot;-&quot;??_);_(@_)"/>
    <numFmt numFmtId="171" formatCode="0.00000_);[Red]\(0.00000\)"/>
    <numFmt numFmtId="172" formatCode="0.0"/>
    <numFmt numFmtId="173" formatCode="0.00000"/>
    <numFmt numFmtId="174" formatCode="_(&quot;$&quot;* #,##0_);_(&quot;$&quot;* \(#,##0\);_(&quot;$&quot;* &quot;-&quot;??_);_(@_)"/>
    <numFmt numFmtId="175" formatCode="&quot;$&quot;#,##0.000000_);[Red]\(&quot;$&quot;#,##0.000000\)"/>
    <numFmt numFmtId="176" formatCode="_(&quot;$&quot;* #,##0.0000_);_(&quot;$&quot;* \(#,##0.0000\);_(&quot;$&quot;* &quot;-&quot;??_);_(@_)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z val="10"/>
      <color rgb="FF00B05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2"/>
      <name val="Arial"/>
      <family val="2"/>
    </font>
    <font>
      <sz val="7"/>
      <name val="Arial"/>
      <family val="2"/>
    </font>
    <font>
      <sz val="10"/>
      <name val="Times New Roman"/>
      <family val="1"/>
    </font>
    <font>
      <sz val="12"/>
      <color indexed="8"/>
      <name val="Calibri"/>
      <family val="2"/>
    </font>
    <font>
      <sz val="10"/>
      <name val="System"/>
      <family val="2"/>
    </font>
    <font>
      <b/>
      <sz val="14"/>
      <name val="Arial"/>
      <family val="2"/>
    </font>
    <font>
      <b/>
      <sz val="10"/>
      <color indexed="23"/>
      <name val="Lucida Console"/>
      <family val="3"/>
    </font>
    <font>
      <sz val="10"/>
      <color indexed="9"/>
      <name val="Arial"/>
      <family val="2"/>
    </font>
    <font>
      <b/>
      <i/>
      <sz val="10"/>
      <color indexed="10"/>
      <name val="Arial"/>
      <family val="2"/>
    </font>
    <font>
      <b/>
      <i/>
      <sz val="10"/>
      <color indexed="63"/>
      <name val="Arial"/>
      <family val="2"/>
    </font>
    <font>
      <sz val="10"/>
      <color indexed="8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u/>
      <vertAlign val="superscript"/>
      <sz val="10"/>
      <name val="Arial"/>
      <family val="2"/>
    </font>
    <font>
      <vertAlign val="superscript"/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4" tint="-0.49998474074526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0"/>
      <color rgb="FFFF0000"/>
      <name val="Arial"/>
      <family val="2"/>
    </font>
    <font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61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indexed="5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theme="4" tint="-0.249977111117893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4" tint="0.79998168889431442"/>
        <bgColor theme="4" tint="0.79998168889431442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23"/>
      </left>
      <right/>
      <top style="medium">
        <color indexed="23"/>
      </top>
      <bottom/>
      <diagonal/>
    </border>
    <border>
      <left/>
      <right/>
      <top style="medium">
        <color indexed="23"/>
      </top>
      <bottom/>
      <diagonal/>
    </border>
    <border>
      <left/>
      <right style="medium">
        <color indexed="23"/>
      </right>
      <top style="medium">
        <color indexed="23"/>
      </top>
      <bottom/>
      <diagonal/>
    </border>
    <border>
      <left style="medium">
        <color indexed="61"/>
      </left>
      <right/>
      <top/>
      <bottom/>
      <diagonal/>
    </border>
    <border>
      <left style="medium">
        <color indexed="60"/>
      </left>
      <right/>
      <top/>
      <bottom/>
      <diagonal/>
    </border>
    <border>
      <left style="medium">
        <color indexed="59"/>
      </left>
      <right/>
      <top/>
      <bottom/>
      <diagonal/>
    </border>
    <border>
      <left style="medium">
        <color indexed="61"/>
      </left>
      <right style="medium">
        <color indexed="61"/>
      </right>
      <top style="medium">
        <color indexed="61"/>
      </top>
      <bottom style="medium">
        <color indexed="61"/>
      </bottom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59"/>
      </left>
      <right style="medium">
        <color indexed="59"/>
      </right>
      <top style="medium">
        <color indexed="59"/>
      </top>
      <bottom style="medium">
        <color indexed="59"/>
      </bottom>
      <diagonal/>
    </border>
    <border>
      <left/>
      <right/>
      <top/>
      <bottom style="medium">
        <color indexed="8"/>
      </bottom>
      <diagonal/>
    </border>
    <border>
      <left/>
      <right/>
      <top style="thin">
        <color theme="4" tint="-0.249977111117893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theme="4" tint="0.79998168889431442"/>
      </bottom>
      <diagonal/>
    </border>
    <border>
      <left/>
      <right/>
      <top style="thin">
        <color theme="4" tint="0.79998168889431442"/>
      </top>
      <bottom style="thin">
        <color theme="4" tint="0.39997558519241921"/>
      </bottom>
      <diagonal/>
    </border>
    <border>
      <left/>
      <right/>
      <top style="thin">
        <color theme="4" tint="0.79998168889431442"/>
      </top>
      <bottom style="thin">
        <color theme="4"/>
      </bottom>
      <diagonal/>
    </border>
    <border>
      <left/>
      <right/>
      <top style="thin">
        <color theme="4" tint="0.39997558519241921"/>
      </top>
      <bottom style="thin">
        <color theme="4" tint="0.79998168889431442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double">
        <color theme="4" tint="-0.249977111117893"/>
      </top>
      <bottom/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9" tint="0.79998168889431442"/>
      </top>
      <bottom style="thin">
        <color theme="9" tint="0.79998168889431442"/>
      </bottom>
      <diagonal/>
    </border>
  </borders>
  <cellStyleXfs count="84">
    <xf numFmtId="0" fontId="0" fillId="0" borderId="0"/>
    <xf numFmtId="0" fontId="2" fillId="0" borderId="0"/>
    <xf numFmtId="0" fontId="2" fillId="0" borderId="0"/>
    <xf numFmtId="166" fontId="3" fillId="0" borderId="0"/>
    <xf numFmtId="9" fontId="4" fillId="0" borderId="0" applyFont="0" applyFill="0" applyBorder="0" applyAlignment="0" applyProtection="0"/>
    <xf numFmtId="40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166" fontId="9" fillId="0" borderId="0"/>
    <xf numFmtId="43" fontId="2" fillId="0" borderId="0" applyFont="0" applyFill="0" applyBorder="0" applyAlignment="0" applyProtection="0"/>
    <xf numFmtId="40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8" fontId="4" fillId="0" borderId="0" applyFont="0" applyFill="0" applyBorder="0" applyAlignment="0" applyProtection="0"/>
    <xf numFmtId="44" fontId="11" fillId="0" borderId="0" applyFont="0" applyFill="0" applyBorder="0" applyAlignment="0" applyProtection="0"/>
    <xf numFmtId="8" fontId="4" fillId="0" borderId="0" applyFont="0" applyFill="0" applyBorder="0" applyAlignment="0" applyProtection="0"/>
    <xf numFmtId="166" fontId="3" fillId="0" borderId="0"/>
    <xf numFmtId="166" fontId="3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6" fontId="3" fillId="0" borderId="0"/>
    <xf numFmtId="0" fontId="12" fillId="0" borderId="0"/>
    <xf numFmtId="0" fontId="2" fillId="0" borderId="0"/>
    <xf numFmtId="0" fontId="2" fillId="0" borderId="0"/>
    <xf numFmtId="0" fontId="2" fillId="0" borderId="0"/>
    <xf numFmtId="166" fontId="3" fillId="0" borderId="0"/>
    <xf numFmtId="0" fontId="2" fillId="0" borderId="0"/>
    <xf numFmtId="166" fontId="3" fillId="0" borderId="0"/>
    <xf numFmtId="166" fontId="3" fillId="0" borderId="0"/>
    <xf numFmtId="0" fontId="2" fillId="0" borderId="0"/>
    <xf numFmtId="0" fontId="1" fillId="0" borderId="0"/>
    <xf numFmtId="166" fontId="3" fillId="0" borderId="0"/>
    <xf numFmtId="166" fontId="3" fillId="0" borderId="0"/>
    <xf numFmtId="0" fontId="2" fillId="0" borderId="0"/>
    <xf numFmtId="166" fontId="3" fillId="0" borderId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 applyNumberFormat="0" applyFont="0" applyBorder="0" applyAlignment="0" applyProtection="0"/>
    <xf numFmtId="0" fontId="13" fillId="0" borderId="0" applyNumberFormat="0" applyFill="0" applyBorder="0" applyAlignment="0" applyProtection="0"/>
    <xf numFmtId="0" fontId="6" fillId="3" borderId="0" applyNumberFormat="0" applyBorder="0" applyProtection="0">
      <alignment wrapText="1"/>
    </xf>
    <xf numFmtId="0" fontId="6" fillId="0" borderId="0" applyNumberFormat="0" applyFill="0" applyBorder="0" applyProtection="0">
      <alignment wrapText="1"/>
    </xf>
    <xf numFmtId="0" fontId="3" fillId="0" borderId="0" applyNumberFormat="0" applyFill="0" applyBorder="0" applyProtection="0">
      <alignment vertical="top" wrapText="1"/>
    </xf>
    <xf numFmtId="0" fontId="14" fillId="0" borderId="0" applyNumberFormat="0" applyFill="0" applyBorder="0" applyAlignment="0" applyProtection="0"/>
    <xf numFmtId="0" fontId="2" fillId="0" borderId="13" applyNumberFormat="0" applyFont="0" applyFill="0" applyAlignment="0" applyProtection="0"/>
    <xf numFmtId="0" fontId="2" fillId="0" borderId="14" applyNumberFormat="0" applyFont="0" applyFill="0" applyAlignment="0" applyProtection="0"/>
    <xf numFmtId="0" fontId="2" fillId="0" borderId="15" applyNumberFormat="0" applyFont="0" applyFill="0" applyAlignment="0" applyProtection="0"/>
    <xf numFmtId="0" fontId="15" fillId="4" borderId="16" applyNumberFormat="0" applyAlignment="0" applyProtection="0"/>
    <xf numFmtId="0" fontId="15" fillId="5" borderId="17" applyNumberFormat="0" applyAlignment="0" applyProtection="0"/>
    <xf numFmtId="0" fontId="2" fillId="6" borderId="18" applyNumberFormat="0" applyFont="0" applyAlignment="0" applyProtection="0"/>
    <xf numFmtId="0" fontId="2" fillId="7" borderId="19" applyNumberFormat="0" applyFont="0" applyAlignment="0" applyProtection="0"/>
    <xf numFmtId="0" fontId="2" fillId="8" borderId="20" applyNumberFormat="0" applyFont="0" applyAlignment="0" applyProtection="0"/>
    <xf numFmtId="0" fontId="2" fillId="9" borderId="21" applyNumberFormat="0" applyFont="0" applyAlignment="0" applyProtection="0"/>
    <xf numFmtId="0" fontId="2" fillId="10" borderId="0" applyNumberFormat="0" applyFon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2" applyNumberFormat="0" applyFill="0" applyAlignment="0" applyProtection="0"/>
    <xf numFmtId="0" fontId="2" fillId="0" borderId="0" applyNumberFormat="0" applyFont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40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0"/>
    <xf numFmtId="0" fontId="25" fillId="0" borderId="0"/>
  </cellStyleXfs>
  <cellXfs count="242">
    <xf numFmtId="0" fontId="0" fillId="0" borderId="0" xfId="0"/>
    <xf numFmtId="0" fontId="2" fillId="0" borderId="0" xfId="1"/>
    <xf numFmtId="0" fontId="2" fillId="0" borderId="0" xfId="1" applyFill="1"/>
    <xf numFmtId="6" fontId="2" fillId="0" borderId="0" xfId="1" applyNumberFormat="1"/>
    <xf numFmtId="10" fontId="2" fillId="0" borderId="0" xfId="4" applyNumberFormat="1" applyFont="1"/>
    <xf numFmtId="0" fontId="6" fillId="0" borderId="0" xfId="1" applyFont="1"/>
    <xf numFmtId="166" fontId="3" fillId="0" borderId="0" xfId="23"/>
    <xf numFmtId="166" fontId="3" fillId="0" borderId="0" xfId="23" applyFill="1"/>
    <xf numFmtId="0" fontId="2" fillId="0" borderId="0" xfId="42" applyFont="1" applyFill="1" applyBorder="1"/>
    <xf numFmtId="174" fontId="2" fillId="0" borderId="0" xfId="42" applyNumberFormat="1" applyFont="1" applyFill="1" applyBorder="1"/>
    <xf numFmtId="0" fontId="6" fillId="0" borderId="0" xfId="42" applyFont="1" applyFill="1" applyBorder="1"/>
    <xf numFmtId="0" fontId="6" fillId="0" borderId="0" xfId="42" applyFont="1" applyFill="1" applyBorder="1" applyAlignment="1">
      <alignment wrapText="1"/>
    </xf>
    <xf numFmtId="0" fontId="6" fillId="0" borderId="0" xfId="42" applyFont="1" applyFill="1" applyBorder="1" applyAlignment="1">
      <alignment horizontal="right"/>
    </xf>
    <xf numFmtId="166" fontId="3" fillId="0" borderId="0" xfId="23" applyAlignment="1">
      <alignment horizontal="right"/>
    </xf>
    <xf numFmtId="14" fontId="6" fillId="0" borderId="0" xfId="23" applyNumberFormat="1" applyFont="1" applyAlignment="1">
      <alignment horizontal="centerContinuous"/>
    </xf>
    <xf numFmtId="166" fontId="6" fillId="0" borderId="0" xfId="23" applyFont="1" applyAlignment="1">
      <alignment horizontal="centerContinuous"/>
    </xf>
    <xf numFmtId="1" fontId="6" fillId="0" borderId="0" xfId="78" applyNumberFormat="1" applyFont="1" applyAlignment="1">
      <alignment horizontal="center"/>
    </xf>
    <xf numFmtId="0" fontId="6" fillId="0" borderId="0" xfId="78" applyFont="1"/>
    <xf numFmtId="0" fontId="6" fillId="0" borderId="0" xfId="78" applyFont="1" applyAlignment="1">
      <alignment wrapText="1"/>
    </xf>
    <xf numFmtId="0" fontId="6" fillId="0" borderId="0" xfId="78" applyFont="1" applyFill="1"/>
    <xf numFmtId="0" fontId="6" fillId="0" borderId="0" xfId="1" applyFont="1" applyAlignment="1"/>
    <xf numFmtId="10" fontId="2" fillId="0" borderId="0" xfId="45" applyNumberFormat="1" applyFont="1" applyFill="1" applyAlignment="1">
      <alignment horizontal="right"/>
    </xf>
    <xf numFmtId="170" fontId="2" fillId="0" borderId="0" xfId="11" applyNumberFormat="1" applyFont="1" applyFill="1" applyAlignment="1">
      <alignment horizontal="left"/>
    </xf>
    <xf numFmtId="170" fontId="6" fillId="0" borderId="0" xfId="11" applyNumberFormat="1" applyFont="1" applyFill="1" applyAlignment="1">
      <alignment horizontal="center"/>
    </xf>
    <xf numFmtId="170" fontId="6" fillId="0" borderId="0" xfId="11" applyNumberFormat="1" applyFont="1" applyFill="1" applyAlignment="1">
      <alignment horizontal="right"/>
    </xf>
    <xf numFmtId="165" fontId="19" fillId="0" borderId="0" xfId="45" applyNumberFormat="1" applyFont="1" applyFill="1" applyBorder="1"/>
    <xf numFmtId="165" fontId="0" fillId="0" borderId="0" xfId="45" applyNumberFormat="1" applyFont="1" applyFill="1" applyBorder="1"/>
    <xf numFmtId="6" fontId="0" fillId="0" borderId="0" xfId="9" applyNumberFormat="1" applyFont="1" applyFill="1" applyBorder="1" applyAlignment="1">
      <alignment horizontal="right"/>
    </xf>
    <xf numFmtId="167" fontId="0" fillId="0" borderId="0" xfId="45" applyNumberFormat="1" applyFont="1" applyFill="1"/>
    <xf numFmtId="10" fontId="0" fillId="0" borderId="0" xfId="45" applyNumberFormat="1" applyFont="1" applyFill="1" applyBorder="1"/>
    <xf numFmtId="43" fontId="0" fillId="0" borderId="0" xfId="11" applyFont="1" applyFill="1"/>
    <xf numFmtId="170" fontId="0" fillId="0" borderId="0" xfId="11" applyNumberFormat="1" applyFont="1" applyFill="1"/>
    <xf numFmtId="10" fontId="0" fillId="0" borderId="0" xfId="45" applyNumberFormat="1" applyFont="1" applyFill="1"/>
    <xf numFmtId="168" fontId="0" fillId="0" borderId="0" xfId="11" applyNumberFormat="1" applyFont="1" applyFill="1"/>
    <xf numFmtId="170" fontId="0" fillId="0" borderId="9" xfId="11" applyNumberFormat="1" applyFont="1" applyFill="1" applyBorder="1"/>
    <xf numFmtId="10" fontId="0" fillId="0" borderId="9" xfId="45" applyNumberFormat="1" applyFont="1" applyFill="1" applyBorder="1"/>
    <xf numFmtId="168" fontId="0" fillId="0" borderId="9" xfId="11" applyNumberFormat="1" applyFont="1" applyFill="1" applyBorder="1"/>
    <xf numFmtId="38" fontId="0" fillId="0" borderId="0" xfId="11" applyNumberFormat="1" applyFont="1" applyFill="1"/>
    <xf numFmtId="170" fontId="2" fillId="2" borderId="0" xfId="11" applyNumberFormat="1" applyFont="1" applyFill="1" applyAlignment="1">
      <alignment horizontal="left"/>
    </xf>
    <xf numFmtId="44" fontId="0" fillId="0" borderId="0" xfId="9" applyFont="1" applyFill="1" applyBorder="1" applyAlignment="1">
      <alignment horizontal="right"/>
    </xf>
    <xf numFmtId="8" fontId="2" fillId="0" borderId="0" xfId="1" applyNumberFormat="1"/>
    <xf numFmtId="0" fontId="0" fillId="0" borderId="0" xfId="0" applyAlignment="1">
      <alignment horizontal="center"/>
    </xf>
    <xf numFmtId="0" fontId="0" fillId="11" borderId="0" xfId="0" applyFill="1"/>
    <xf numFmtId="0" fontId="20" fillId="0" borderId="0" xfId="0" applyFont="1"/>
    <xf numFmtId="0" fontId="25" fillId="0" borderId="0" xfId="83"/>
    <xf numFmtId="8" fontId="0" fillId="0" borderId="0" xfId="0" applyNumberFormat="1" applyFill="1" applyAlignment="1">
      <alignment horizontal="center"/>
    </xf>
    <xf numFmtId="0" fontId="20" fillId="0" borderId="0" xfId="25" applyFont="1"/>
    <xf numFmtId="0" fontId="20" fillId="0" borderId="0" xfId="25" applyFont="1" applyFill="1" applyBorder="1"/>
    <xf numFmtId="0" fontId="26" fillId="0" borderId="0" xfId="30" applyFont="1" applyFill="1"/>
    <xf numFmtId="8" fontId="25" fillId="0" borderId="0" xfId="83" applyNumberFormat="1"/>
    <xf numFmtId="164" fontId="25" fillId="0" borderId="0" xfId="83" applyNumberFormat="1"/>
    <xf numFmtId="9" fontId="25" fillId="0" borderId="0" xfId="81" applyFont="1"/>
    <xf numFmtId="9" fontId="25" fillId="0" borderId="0" xfId="83" applyNumberFormat="1"/>
    <xf numFmtId="6" fontId="25" fillId="0" borderId="0" xfId="83" applyNumberFormat="1"/>
    <xf numFmtId="10" fontId="0" fillId="0" borderId="0" xfId="0" applyNumberFormat="1"/>
    <xf numFmtId="174" fontId="0" fillId="0" borderId="0" xfId="77" applyNumberFormat="1" applyFont="1"/>
    <xf numFmtId="0" fontId="29" fillId="0" borderId="0" xfId="0" applyFont="1" applyAlignment="1"/>
    <xf numFmtId="0" fontId="29" fillId="0" borderId="0" xfId="0" applyFont="1" applyFill="1" applyAlignment="1"/>
    <xf numFmtId="0" fontId="28" fillId="12" borderId="23" xfId="0" applyFont="1" applyFill="1" applyBorder="1"/>
    <xf numFmtId="43" fontId="28" fillId="12" borderId="23" xfId="0" applyNumberFormat="1" applyFont="1" applyFill="1" applyBorder="1"/>
    <xf numFmtId="0" fontId="0" fillId="0" borderId="24" xfId="0" applyFont="1" applyBorder="1"/>
    <xf numFmtId="43" fontId="0" fillId="0" borderId="24" xfId="0" applyNumberFormat="1" applyFont="1" applyBorder="1"/>
    <xf numFmtId="0" fontId="28" fillId="13" borderId="25" xfId="0" applyFont="1" applyFill="1" applyBorder="1"/>
    <xf numFmtId="0" fontId="0" fillId="14" borderId="26" xfId="0" applyFont="1" applyFill="1" applyBorder="1"/>
    <xf numFmtId="0" fontId="28" fillId="13" borderId="27" xfId="0" applyFont="1" applyFill="1" applyBorder="1"/>
    <xf numFmtId="0" fontId="27" fillId="13" borderId="24" xfId="0" applyFont="1" applyFill="1" applyBorder="1"/>
    <xf numFmtId="43" fontId="27" fillId="13" borderId="24" xfId="0" applyNumberFormat="1" applyFont="1" applyFill="1" applyBorder="1"/>
    <xf numFmtId="0" fontId="28" fillId="13" borderId="28" xfId="0" applyFont="1" applyFill="1" applyBorder="1"/>
    <xf numFmtId="0" fontId="20" fillId="0" borderId="29" xfId="0" applyFont="1" applyBorder="1"/>
    <xf numFmtId="43" fontId="20" fillId="0" borderId="29" xfId="0" applyNumberFormat="1" applyFont="1" applyBorder="1"/>
    <xf numFmtId="43" fontId="0" fillId="0" borderId="0" xfId="0" applyNumberFormat="1"/>
    <xf numFmtId="44" fontId="0" fillId="0" borderId="0" xfId="0" applyNumberFormat="1"/>
    <xf numFmtId="43" fontId="2" fillId="0" borderId="0" xfId="80" applyFont="1" applyFill="1" applyBorder="1"/>
    <xf numFmtId="174" fontId="2" fillId="0" borderId="0" xfId="4" applyNumberFormat="1" applyFont="1" applyFill="1" applyBorder="1"/>
    <xf numFmtId="174" fontId="0" fillId="0" borderId="0" xfId="4" applyNumberFormat="1" applyFont="1" applyFill="1"/>
    <xf numFmtId="174" fontId="3" fillId="0" borderId="0" xfId="80" applyNumberFormat="1" applyFont="1" applyFill="1"/>
    <xf numFmtId="174" fontId="6" fillId="0" borderId="0" xfId="42" applyNumberFormat="1" applyFont="1" applyFill="1" applyBorder="1"/>
    <xf numFmtId="174" fontId="2" fillId="0" borderId="0" xfId="80" applyNumberFormat="1" applyFont="1" applyFill="1" applyBorder="1"/>
    <xf numFmtId="174" fontId="0" fillId="0" borderId="0" xfId="4" applyNumberFormat="1" applyFont="1"/>
    <xf numFmtId="174" fontId="3" fillId="0" borderId="0" xfId="23" applyNumberFormat="1"/>
    <xf numFmtId="174" fontId="3" fillId="0" borderId="0" xfId="80" applyNumberFormat="1" applyFont="1"/>
    <xf numFmtId="174" fontId="0" fillId="0" borderId="0" xfId="0" applyNumberFormat="1"/>
    <xf numFmtId="170" fontId="0" fillId="0" borderId="0" xfId="0" applyNumberFormat="1"/>
    <xf numFmtId="176" fontId="0" fillId="0" borderId="0" xfId="4" applyNumberFormat="1" applyFont="1"/>
    <xf numFmtId="9" fontId="0" fillId="0" borderId="0" xfId="81" applyFont="1"/>
    <xf numFmtId="10" fontId="2" fillId="0" borderId="0" xfId="81" applyNumberFormat="1" applyFont="1" applyFill="1" applyBorder="1"/>
    <xf numFmtId="0" fontId="0" fillId="0" borderId="0" xfId="0" applyFill="1"/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0" fillId="0" borderId="0" xfId="0" applyFill="1" applyBorder="1"/>
    <xf numFmtId="0" fontId="8" fillId="0" borderId="0" xfId="0" applyFont="1" applyFill="1" applyAlignment="1">
      <alignment horizontal="left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/>
    </xf>
    <xf numFmtId="173" fontId="2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left"/>
    </xf>
    <xf numFmtId="41" fontId="0" fillId="0" borderId="0" xfId="0" applyNumberFormat="1" applyFill="1" applyBorder="1" applyAlignment="1">
      <alignment horizontal="center"/>
    </xf>
    <xf numFmtId="41" fontId="5" fillId="0" borderId="0" xfId="0" applyNumberFormat="1" applyFont="1" applyFill="1" applyBorder="1"/>
    <xf numFmtId="0" fontId="6" fillId="0" borderId="9" xfId="0" applyFont="1" applyFill="1" applyBorder="1" applyAlignment="1">
      <alignment horizontal="center" wrapText="1"/>
    </xf>
    <xf numFmtId="38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43" fontId="19" fillId="0" borderId="0" xfId="0" applyNumberFormat="1" applyFont="1" applyFill="1" applyBorder="1"/>
    <xf numFmtId="0" fontId="6" fillId="0" borderId="0" xfId="0" applyFont="1" applyFill="1" applyBorder="1"/>
    <xf numFmtId="172" fontId="0" fillId="0" borderId="0" xfId="0" applyNumberFormat="1" applyFill="1" applyBorder="1"/>
    <xf numFmtId="6" fontId="0" fillId="0" borderId="0" xfId="0" applyNumberFormat="1" applyFill="1" applyBorder="1" applyAlignment="1">
      <alignment horizontal="right"/>
    </xf>
    <xf numFmtId="164" fontId="0" fillId="0" borderId="0" xfId="0" applyNumberFormat="1" applyFill="1" applyBorder="1" applyAlignment="1">
      <alignment horizontal="right"/>
    </xf>
    <xf numFmtId="164" fontId="0" fillId="0" borderId="0" xfId="0" applyNumberFormat="1" applyFill="1" applyBorder="1"/>
    <xf numFmtId="175" fontId="0" fillId="0" borderId="0" xfId="0" applyNumberFormat="1" applyFill="1" applyBorder="1" applyAlignment="1">
      <alignment horizontal="right"/>
    </xf>
    <xf numFmtId="6" fontId="0" fillId="0" borderId="9" xfId="0" applyNumberFormat="1" applyFill="1" applyBorder="1" applyAlignment="1">
      <alignment horizontal="right"/>
    </xf>
    <xf numFmtId="164" fontId="0" fillId="0" borderId="9" xfId="0" applyNumberForma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38" fontId="0" fillId="0" borderId="0" xfId="0" applyNumberFormat="1" applyFill="1" applyBorder="1"/>
    <xf numFmtId="0" fontId="19" fillId="0" borderId="0" xfId="0" applyFont="1" applyFill="1" applyBorder="1"/>
    <xf numFmtId="0" fontId="0" fillId="0" borderId="9" xfId="0" applyFill="1" applyBorder="1"/>
    <xf numFmtId="8" fontId="0" fillId="0" borderId="0" xfId="0" applyNumberFormat="1" applyFill="1" applyBorder="1" applyAlignment="1">
      <alignment horizontal="right"/>
    </xf>
    <xf numFmtId="8" fontId="0" fillId="0" borderId="9" xfId="0" applyNumberForma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169" fontId="0" fillId="0" borderId="0" xfId="0" applyNumberFormat="1" applyFill="1"/>
    <xf numFmtId="38" fontId="0" fillId="0" borderId="9" xfId="0" applyNumberFormat="1" applyFill="1" applyBorder="1"/>
    <xf numFmtId="169" fontId="0" fillId="0" borderId="0" xfId="0" applyNumberFormat="1" applyFill="1" applyBorder="1"/>
    <xf numFmtId="0" fontId="6" fillId="0" borderId="9" xfId="0" applyFont="1" applyFill="1" applyBorder="1" applyAlignment="1">
      <alignment horizontal="center"/>
    </xf>
    <xf numFmtId="0" fontId="6" fillId="0" borderId="9" xfId="0" applyFont="1" applyFill="1" applyBorder="1"/>
    <xf numFmtId="0" fontId="6" fillId="0" borderId="0" xfId="0" applyFont="1" applyFill="1" applyAlignment="1">
      <alignment horizontal="center"/>
    </xf>
    <xf numFmtId="171" fontId="0" fillId="0" borderId="0" xfId="0" applyNumberFormat="1" applyFill="1"/>
    <xf numFmtId="38" fontId="0" fillId="0" borderId="0" xfId="0" applyNumberFormat="1" applyFill="1"/>
    <xf numFmtId="170" fontId="0" fillId="0" borderId="0" xfId="0" applyNumberFormat="1" applyFill="1"/>
    <xf numFmtId="171" fontId="0" fillId="0" borderId="9" xfId="0" applyNumberFormat="1" applyFill="1" applyBorder="1"/>
    <xf numFmtId="169" fontId="0" fillId="0" borderId="9" xfId="0" applyNumberFormat="1" applyFill="1" applyBorder="1"/>
    <xf numFmtId="170" fontId="0" fillId="0" borderId="9" xfId="0" applyNumberFormat="1" applyFill="1" applyBorder="1"/>
    <xf numFmtId="38" fontId="19" fillId="0" borderId="0" xfId="0" applyNumberFormat="1" applyFont="1" applyFill="1" applyBorder="1"/>
    <xf numFmtId="41" fontId="0" fillId="0" borderId="0" xfId="0" applyNumberFormat="1" applyFill="1" applyBorder="1"/>
    <xf numFmtId="0" fontId="2" fillId="0" borderId="0" xfId="0" applyFont="1" applyFill="1" applyBorder="1" applyAlignment="1">
      <alignment horizontal="left"/>
    </xf>
    <xf numFmtId="165" fontId="0" fillId="0" borderId="0" xfId="0" applyNumberFormat="1" applyFill="1" applyBorder="1" applyAlignment="1">
      <alignment horizontal="right"/>
    </xf>
    <xf numFmtId="0" fontId="2" fillId="0" borderId="0" xfId="0" applyFont="1" applyFill="1"/>
    <xf numFmtId="0" fontId="8" fillId="2" borderId="0" xfId="0" applyFont="1" applyFill="1" applyAlignment="1">
      <alignment horizontal="left"/>
    </xf>
    <xf numFmtId="0" fontId="0" fillId="2" borderId="0" xfId="0" applyFill="1" applyBorder="1" applyAlignment="1">
      <alignment horizontal="right"/>
    </xf>
    <xf numFmtId="170" fontId="19" fillId="0" borderId="0" xfId="0" applyNumberFormat="1" applyFont="1" applyFill="1" applyBorder="1"/>
    <xf numFmtId="43" fontId="0" fillId="0" borderId="0" xfId="0" applyNumberFormat="1" applyFill="1" applyBorder="1" applyAlignment="1">
      <alignment horizontal="right"/>
    </xf>
    <xf numFmtId="43" fontId="0" fillId="0" borderId="9" xfId="0" applyNumberFormat="1" applyFill="1" applyBorder="1" applyAlignment="1">
      <alignment horizontal="right"/>
    </xf>
    <xf numFmtId="0" fontId="2" fillId="0" borderId="8" xfId="0" applyFont="1" applyFill="1" applyBorder="1"/>
    <xf numFmtId="0" fontId="2" fillId="0" borderId="7" xfId="0" applyFont="1" applyFill="1" applyBorder="1"/>
    <xf numFmtId="0" fontId="2" fillId="0" borderId="6" xfId="0" applyFont="1" applyFill="1" applyBorder="1"/>
    <xf numFmtId="0" fontId="2" fillId="0" borderId="5" xfId="0" applyFont="1" applyFill="1" applyBorder="1"/>
    <xf numFmtId="0" fontId="2" fillId="0" borderId="4" xfId="0" applyFont="1" applyFill="1" applyBorder="1"/>
    <xf numFmtId="164" fontId="2" fillId="0" borderId="4" xfId="0" applyNumberFormat="1" applyFont="1" applyFill="1" applyBorder="1"/>
    <xf numFmtId="164" fontId="0" fillId="0" borderId="0" xfId="0" applyNumberFormat="1" applyFill="1"/>
    <xf numFmtId="0" fontId="2" fillId="0" borderId="5" xfId="0" applyFont="1" applyFill="1" applyBorder="1" applyAlignment="1">
      <alignment horizontal="right"/>
    </xf>
    <xf numFmtId="8" fontId="2" fillId="0" borderId="4" xfId="0" applyNumberFormat="1" applyFont="1" applyFill="1" applyBorder="1"/>
    <xf numFmtId="0" fontId="2" fillId="0" borderId="3" xfId="0" applyFont="1" applyFill="1" applyBorder="1"/>
    <xf numFmtId="0" fontId="2" fillId="0" borderId="2" xfId="0" applyFont="1" applyFill="1" applyBorder="1"/>
    <xf numFmtId="164" fontId="2" fillId="0" borderId="1" xfId="0" applyNumberFormat="1" applyFont="1" applyFill="1" applyBorder="1"/>
    <xf numFmtId="38" fontId="2" fillId="0" borderId="9" xfId="0" applyNumberFormat="1" applyFont="1" applyFill="1" applyBorder="1" applyAlignment="1">
      <alignment horizontal="center"/>
    </xf>
    <xf numFmtId="0" fontId="19" fillId="0" borderId="0" xfId="42" applyFont="1" applyFill="1" applyBorder="1" applyAlignment="1">
      <alignment horizontal="right"/>
    </xf>
    <xf numFmtId="174" fontId="19" fillId="0" borderId="0" xfId="42" applyNumberFormat="1" applyFont="1" applyFill="1" applyBorder="1"/>
    <xf numFmtId="0" fontId="30" fillId="0" borderId="0" xfId="0" applyFont="1"/>
    <xf numFmtId="43" fontId="30" fillId="0" borderId="0" xfId="0" applyNumberFormat="1" applyFont="1"/>
    <xf numFmtId="43" fontId="32" fillId="0" borderId="0" xfId="80" applyFont="1" applyFill="1"/>
    <xf numFmtId="0" fontId="28" fillId="13" borderId="30" xfId="0" applyFont="1" applyFill="1" applyBorder="1"/>
    <xf numFmtId="0" fontId="0" fillId="0" borderId="31" xfId="0" applyFont="1" applyBorder="1"/>
    <xf numFmtId="43" fontId="0" fillId="0" borderId="31" xfId="0" applyNumberFormat="1" applyFont="1" applyBorder="1"/>
    <xf numFmtId="43" fontId="0" fillId="0" borderId="24" xfId="0" applyNumberFormat="1" applyFont="1" applyFill="1" applyBorder="1"/>
    <xf numFmtId="9" fontId="19" fillId="0" borderId="0" xfId="0" applyNumberFormat="1" applyFont="1" applyFill="1" applyBorder="1"/>
    <xf numFmtId="10" fontId="19" fillId="0" borderId="0" xfId="0" applyNumberFormat="1" applyFont="1" applyFill="1" applyBorder="1"/>
    <xf numFmtId="41" fontId="19" fillId="0" borderId="0" xfId="0" applyNumberFormat="1" applyFont="1" applyFill="1" applyBorder="1"/>
    <xf numFmtId="10" fontId="19" fillId="0" borderId="0" xfId="0" applyNumberFormat="1" applyFont="1" applyFill="1"/>
    <xf numFmtId="165" fontId="19" fillId="0" borderId="0" xfId="0" applyNumberFormat="1" applyFont="1" applyFill="1"/>
    <xf numFmtId="6" fontId="30" fillId="0" borderId="0" xfId="80" applyNumberFormat="1" applyFont="1" applyFill="1"/>
    <xf numFmtId="3" fontId="2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/>
    <xf numFmtId="166" fontId="3" fillId="0" borderId="0" xfId="43" applyFont="1" applyFill="1" applyBorder="1" applyAlignment="1">
      <alignment horizontal="center" wrapText="1"/>
    </xf>
    <xf numFmtId="170" fontId="5" fillId="0" borderId="0" xfId="11" applyNumberFormat="1" applyFont="1" applyFill="1" applyBorder="1"/>
    <xf numFmtId="170" fontId="2" fillId="0" borderId="0" xfId="11" applyNumberFormat="1" applyFont="1" applyFill="1" applyBorder="1"/>
    <xf numFmtId="41" fontId="2" fillId="0" borderId="9" xfId="0" applyNumberFormat="1" applyFont="1" applyFill="1" applyBorder="1"/>
    <xf numFmtId="38" fontId="2" fillId="0" borderId="0" xfId="0" applyNumberFormat="1" applyFont="1" applyFill="1" applyBorder="1"/>
    <xf numFmtId="38" fontId="2" fillId="0" borderId="0" xfId="0" applyNumberFormat="1" applyFont="1" applyFill="1" applyBorder="1" applyAlignment="1">
      <alignment horizontal="center"/>
    </xf>
    <xf numFmtId="38" fontId="33" fillId="0" borderId="0" xfId="0" applyNumberFormat="1" applyFont="1" applyFill="1" applyBorder="1" applyAlignment="1">
      <alignment horizontal="center"/>
    </xf>
    <xf numFmtId="10" fontId="2" fillId="0" borderId="0" xfId="45" applyNumberFormat="1" applyFont="1" applyFill="1" applyBorder="1"/>
    <xf numFmtId="0" fontId="2" fillId="0" borderId="0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/>
    </xf>
    <xf numFmtId="10" fontId="33" fillId="0" borderId="0" xfId="0" applyNumberFormat="1" applyFont="1" applyFill="1" applyBorder="1" applyAlignment="1">
      <alignment horizontal="right"/>
    </xf>
    <xf numFmtId="10" fontId="33" fillId="0" borderId="9" xfId="0" applyNumberFormat="1" applyFont="1" applyFill="1" applyBorder="1" applyAlignment="1">
      <alignment horizontal="right"/>
    </xf>
    <xf numFmtId="41" fontId="2" fillId="0" borderId="0" xfId="9" applyNumberFormat="1" applyFont="1" applyFill="1" applyBorder="1" applyAlignment="1">
      <alignment horizontal="right"/>
    </xf>
    <xf numFmtId="41" fontId="2" fillId="0" borderId="9" xfId="9" applyNumberFormat="1" applyFont="1" applyFill="1" applyBorder="1" applyAlignment="1">
      <alignment horizontal="right"/>
    </xf>
    <xf numFmtId="0" fontId="33" fillId="0" borderId="0" xfId="0" applyFont="1" applyFill="1" applyBorder="1"/>
    <xf numFmtId="9" fontId="2" fillId="0" borderId="9" xfId="81" applyFont="1" applyFill="1" applyBorder="1" applyAlignment="1">
      <alignment horizontal="right"/>
    </xf>
    <xf numFmtId="38" fontId="33" fillId="0" borderId="0" xfId="0" applyNumberFormat="1" applyFont="1" applyFill="1" applyBorder="1"/>
    <xf numFmtId="10" fontId="2" fillId="0" borderId="9" xfId="45" applyNumberFormat="1" applyFont="1" applyFill="1" applyBorder="1"/>
    <xf numFmtId="38" fontId="33" fillId="0" borderId="9" xfId="0" applyNumberFormat="1" applyFont="1" applyFill="1" applyBorder="1"/>
    <xf numFmtId="10" fontId="33" fillId="0" borderId="0" xfId="45" applyNumberFormat="1" applyFont="1" applyFill="1" applyBorder="1"/>
    <xf numFmtId="168" fontId="2" fillId="0" borderId="12" xfId="11" applyNumberFormat="1" applyFont="1" applyFill="1" applyBorder="1"/>
    <xf numFmtId="0" fontId="2" fillId="0" borderId="11" xfId="0" applyFont="1" applyFill="1" applyBorder="1"/>
    <xf numFmtId="168" fontId="2" fillId="0" borderId="11" xfId="11" applyNumberFormat="1" applyFont="1" applyFill="1" applyBorder="1"/>
    <xf numFmtId="168" fontId="2" fillId="0" borderId="10" xfId="11" applyNumberFormat="1" applyFont="1" applyFill="1" applyBorder="1"/>
    <xf numFmtId="0" fontId="33" fillId="0" borderId="0" xfId="0" applyFont="1" applyFill="1"/>
    <xf numFmtId="6" fontId="33" fillId="0" borderId="0" xfId="9" applyNumberFormat="1" applyFont="1" applyFill="1" applyBorder="1" applyAlignment="1">
      <alignment horizontal="right"/>
    </xf>
    <xf numFmtId="0" fontId="33" fillId="0" borderId="9" xfId="0" applyFont="1" applyFill="1" applyBorder="1" applyAlignment="1">
      <alignment horizontal="center"/>
    </xf>
    <xf numFmtId="165" fontId="33" fillId="0" borderId="0" xfId="0" applyNumberFormat="1" applyFont="1" applyFill="1" applyBorder="1" applyAlignment="1">
      <alignment horizontal="right"/>
    </xf>
    <xf numFmtId="38" fontId="33" fillId="2" borderId="0" xfId="0" applyNumberFormat="1" applyFont="1" applyFill="1" applyBorder="1" applyAlignment="1">
      <alignment horizontal="center"/>
    </xf>
    <xf numFmtId="0" fontId="33" fillId="2" borderId="0" xfId="0" applyFont="1" applyFill="1" applyBorder="1" applyAlignment="1">
      <alignment horizontal="center"/>
    </xf>
    <xf numFmtId="0" fontId="33" fillId="2" borderId="9" xfId="0" applyFont="1" applyFill="1" applyBorder="1" applyAlignment="1">
      <alignment horizontal="center"/>
    </xf>
    <xf numFmtId="38" fontId="33" fillId="0" borderId="9" xfId="0" applyNumberFormat="1" applyFont="1" applyFill="1" applyBorder="1" applyAlignment="1">
      <alignment horizontal="center"/>
    </xf>
    <xf numFmtId="41" fontId="33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/>
    <xf numFmtId="164" fontId="33" fillId="0" borderId="0" xfId="0" applyNumberFormat="1" applyFont="1" applyFill="1" applyBorder="1" applyAlignment="1">
      <alignment horizontal="right"/>
    </xf>
    <xf numFmtId="10" fontId="2" fillId="0" borderId="9" xfId="45" applyNumberFormat="1" applyFont="1" applyFill="1" applyBorder="1" applyAlignment="1">
      <alignment horizontal="right"/>
    </xf>
    <xf numFmtId="164" fontId="33" fillId="0" borderId="9" xfId="0" applyNumberFormat="1" applyFont="1" applyFill="1" applyBorder="1" applyAlignment="1">
      <alignment horizontal="right"/>
    </xf>
    <xf numFmtId="0" fontId="33" fillId="0" borderId="0" xfId="0" applyFont="1" applyFill="1" applyBorder="1" applyAlignment="1">
      <alignment horizontal="center" vertical="center"/>
    </xf>
    <xf numFmtId="41" fontId="2" fillId="0" borderId="0" xfId="0" applyNumberFormat="1" applyFont="1" applyFill="1" applyBorder="1"/>
    <xf numFmtId="0" fontId="33" fillId="0" borderId="0" xfId="0" applyFont="1" applyFill="1" applyBorder="1" applyAlignment="1">
      <alignment horizontal="right"/>
    </xf>
    <xf numFmtId="171" fontId="33" fillId="0" borderId="0" xfId="0" applyNumberFormat="1" applyFont="1" applyFill="1"/>
    <xf numFmtId="170" fontId="33" fillId="0" borderId="0" xfId="11" applyNumberFormat="1" applyFont="1" applyFill="1"/>
    <xf numFmtId="38" fontId="33" fillId="0" borderId="0" xfId="0" applyNumberFormat="1" applyFont="1" applyFill="1"/>
    <xf numFmtId="10" fontId="33" fillId="0" borderId="0" xfId="45" applyNumberFormat="1" applyFont="1" applyFill="1"/>
    <xf numFmtId="168" fontId="33" fillId="0" borderId="0" xfId="11" applyNumberFormat="1" applyFont="1" applyFill="1"/>
    <xf numFmtId="169" fontId="33" fillId="0" borderId="0" xfId="0" applyNumberFormat="1" applyFont="1" applyFill="1"/>
    <xf numFmtId="170" fontId="33" fillId="0" borderId="0" xfId="0" applyNumberFormat="1" applyFont="1" applyFill="1"/>
    <xf numFmtId="171" fontId="33" fillId="0" borderId="9" xfId="0" applyNumberFormat="1" applyFont="1" applyFill="1" applyBorder="1"/>
    <xf numFmtId="170" fontId="33" fillId="0" borderId="9" xfId="11" applyNumberFormat="1" applyFont="1" applyFill="1" applyBorder="1"/>
    <xf numFmtId="10" fontId="33" fillId="0" borderId="9" xfId="45" applyNumberFormat="1" applyFont="1" applyFill="1" applyBorder="1"/>
    <xf numFmtId="168" fontId="33" fillId="0" borderId="9" xfId="11" applyNumberFormat="1" applyFont="1" applyFill="1" applyBorder="1"/>
    <xf numFmtId="169" fontId="33" fillId="0" borderId="9" xfId="0" applyNumberFormat="1" applyFont="1" applyFill="1" applyBorder="1"/>
    <xf numFmtId="170" fontId="33" fillId="0" borderId="9" xfId="0" applyNumberFormat="1" applyFont="1" applyFill="1" applyBorder="1"/>
    <xf numFmtId="38" fontId="33" fillId="0" borderId="0" xfId="11" applyNumberFormat="1" applyFont="1" applyFill="1"/>
    <xf numFmtId="0" fontId="33" fillId="0" borderId="0" xfId="0" applyFont="1" applyFill="1" applyBorder="1" applyAlignment="1">
      <alignment horizontal="left"/>
    </xf>
    <xf numFmtId="0" fontId="25" fillId="0" borderId="0" xfId="83" applyFill="1"/>
    <xf numFmtId="0" fontId="0" fillId="0" borderId="0" xfId="0" applyFill="1" applyAlignment="1">
      <alignment horizontal="center"/>
    </xf>
    <xf numFmtId="0" fontId="24" fillId="0" borderId="0" xfId="83" applyFont="1"/>
    <xf numFmtId="43" fontId="0" fillId="0" borderId="0" xfId="80" applyFont="1" applyFill="1" applyAlignment="1">
      <alignment horizontal="center"/>
    </xf>
    <xf numFmtId="0" fontId="6" fillId="0" borderId="0" xfId="1" applyFont="1" applyAlignment="1">
      <alignment horizontal="center"/>
    </xf>
    <xf numFmtId="0" fontId="8" fillId="11" borderId="0" xfId="0" applyFont="1" applyFill="1" applyBorder="1" applyAlignment="1">
      <alignment horizontal="left"/>
    </xf>
    <xf numFmtId="0" fontId="6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/>
    </xf>
    <xf numFmtId="0" fontId="20" fillId="0" borderId="0" xfId="0" applyFont="1" applyAlignment="1">
      <alignment horizontal="center"/>
    </xf>
  </cellXfs>
  <cellStyles count="84">
    <cellStyle name="ariel" xfId="10" xr:uid="{00000000-0005-0000-0000-000000000000}"/>
    <cellStyle name="Comma" xfId="80" builtinId="3"/>
    <cellStyle name="Comma 2" xfId="5" xr:uid="{00000000-0005-0000-0000-000001000000}"/>
    <cellStyle name="Comma 2 2" xfId="11" xr:uid="{00000000-0005-0000-0000-000002000000}"/>
    <cellStyle name="Comma 2 3" xfId="12" xr:uid="{00000000-0005-0000-0000-000003000000}"/>
    <cellStyle name="Comma 3" xfId="13" xr:uid="{00000000-0005-0000-0000-000004000000}"/>
    <cellStyle name="Comma 3 2" xfId="14" xr:uid="{00000000-0005-0000-0000-000005000000}"/>
    <cellStyle name="Comma 3 3" xfId="15" xr:uid="{00000000-0005-0000-0000-000006000000}"/>
    <cellStyle name="Comma 4" xfId="16" xr:uid="{00000000-0005-0000-0000-000007000000}"/>
    <cellStyle name="Comma 5" xfId="17" xr:uid="{00000000-0005-0000-0000-000008000000}"/>
    <cellStyle name="Comma 6" xfId="7" xr:uid="{00000000-0005-0000-0000-000009000000}"/>
    <cellStyle name="Comma 7" xfId="18" xr:uid="{00000000-0005-0000-0000-00000A000000}"/>
    <cellStyle name="Comma 8" xfId="79" xr:uid="{00000000-0005-0000-0000-00000B000000}"/>
    <cellStyle name="Currency 12" xfId="19" xr:uid="{00000000-0005-0000-0000-00000C000000}"/>
    <cellStyle name="Currency 2" xfId="20" xr:uid="{00000000-0005-0000-0000-00000D000000}"/>
    <cellStyle name="Currency 3" xfId="21" xr:uid="{00000000-0005-0000-0000-00000E000000}"/>
    <cellStyle name="Currency 4" xfId="22" xr:uid="{00000000-0005-0000-0000-00000F000000}"/>
    <cellStyle name="Currency 5" xfId="9" xr:uid="{00000000-0005-0000-0000-000010000000}"/>
    <cellStyle name="Currency 6" xfId="77" xr:uid="{00000000-0005-0000-0000-000011000000}"/>
    <cellStyle name="Normal" xfId="0" builtinId="0"/>
    <cellStyle name="Normal 10" xfId="23" xr:uid="{00000000-0005-0000-0000-000013000000}"/>
    <cellStyle name="Normal 10 2" xfId="24" xr:uid="{00000000-0005-0000-0000-000014000000}"/>
    <cellStyle name="Normal 11" xfId="1" xr:uid="{00000000-0005-0000-0000-000015000000}"/>
    <cellStyle name="Normal 12" xfId="25" xr:uid="{00000000-0005-0000-0000-000016000000}"/>
    <cellStyle name="Normal 12 2" xfId="26" xr:uid="{00000000-0005-0000-0000-000017000000}"/>
    <cellStyle name="Normal 13" xfId="27" xr:uid="{00000000-0005-0000-0000-000018000000}"/>
    <cellStyle name="Normal 14" xfId="82" xr:uid="{E258FFA3-DB0A-4B4F-9C6C-DD02F613A2E0}"/>
    <cellStyle name="Normal 15" xfId="83" xr:uid="{F17DB3B7-B1F4-403A-A973-3ECB4CC424DC}"/>
    <cellStyle name="Normal 2" xfId="3" xr:uid="{00000000-0005-0000-0000-000019000000}"/>
    <cellStyle name="Normal 2 2" xfId="28" xr:uid="{00000000-0005-0000-0000-00001A000000}"/>
    <cellStyle name="Normal 2 3" xfId="29" xr:uid="{00000000-0005-0000-0000-00001B000000}"/>
    <cellStyle name="Normal 2 3 2" xfId="30" xr:uid="{00000000-0005-0000-0000-00001C000000}"/>
    <cellStyle name="Normal 2_Book1" xfId="31" xr:uid="{00000000-0005-0000-0000-00001D000000}"/>
    <cellStyle name="Normal 3" xfId="32" xr:uid="{00000000-0005-0000-0000-00001E000000}"/>
    <cellStyle name="Normal 3 2" xfId="33" xr:uid="{00000000-0005-0000-0000-00001F000000}"/>
    <cellStyle name="Normal 4" xfId="34" xr:uid="{00000000-0005-0000-0000-000020000000}"/>
    <cellStyle name="Normal 5" xfId="35" xr:uid="{00000000-0005-0000-0000-000021000000}"/>
    <cellStyle name="Normal 6" xfId="36" xr:uid="{00000000-0005-0000-0000-000022000000}"/>
    <cellStyle name="Normal 6 2" xfId="37" xr:uid="{00000000-0005-0000-0000-000023000000}"/>
    <cellStyle name="Normal 7" xfId="38" xr:uid="{00000000-0005-0000-0000-000024000000}"/>
    <cellStyle name="Normal 7 2" xfId="2" xr:uid="{00000000-0005-0000-0000-000025000000}"/>
    <cellStyle name="Normal 8" xfId="39" xr:uid="{00000000-0005-0000-0000-000026000000}"/>
    <cellStyle name="Normal 8 2 2" xfId="40" xr:uid="{00000000-0005-0000-0000-000027000000}"/>
    <cellStyle name="Normal 9" xfId="41" xr:uid="{00000000-0005-0000-0000-000028000000}"/>
    <cellStyle name="Normal_Attachment 5A - Program Budget Workbook Dec22" xfId="42" xr:uid="{00000000-0005-0000-0000-000029000000}"/>
    <cellStyle name="Normal_Lighting Model GRC Phase 2 Workpapers" xfId="78" xr:uid="{00000000-0005-0000-0000-00002C000000}"/>
    <cellStyle name="Normal_RD-WP(Combined 1-01-01 filing)" xfId="43" xr:uid="{00000000-0005-0000-0000-00002D000000}"/>
    <cellStyle name="Percent" xfId="81" builtinId="5"/>
    <cellStyle name="Percent 10" xfId="44" xr:uid="{00000000-0005-0000-0000-00002E000000}"/>
    <cellStyle name="Percent 2" xfId="4" xr:uid="{00000000-0005-0000-0000-00002F000000}"/>
    <cellStyle name="Percent 2 2" xfId="45" xr:uid="{00000000-0005-0000-0000-000030000000}"/>
    <cellStyle name="Percent 2 3" xfId="46" xr:uid="{00000000-0005-0000-0000-000031000000}"/>
    <cellStyle name="Percent 3" xfId="47" xr:uid="{00000000-0005-0000-0000-000032000000}"/>
    <cellStyle name="Percent 3 2" xfId="48" xr:uid="{00000000-0005-0000-0000-000033000000}"/>
    <cellStyle name="Percent 4" xfId="49" xr:uid="{00000000-0005-0000-0000-000034000000}"/>
    <cellStyle name="Percent 5" xfId="50" xr:uid="{00000000-0005-0000-0000-000035000000}"/>
    <cellStyle name="Percent 6" xfId="51" xr:uid="{00000000-0005-0000-0000-000036000000}"/>
    <cellStyle name="Percent 6 2" xfId="52" xr:uid="{00000000-0005-0000-0000-000037000000}"/>
    <cellStyle name="Percent 6 2 2" xfId="53" xr:uid="{00000000-0005-0000-0000-000038000000}"/>
    <cellStyle name="Percent 6 3" xfId="54" xr:uid="{00000000-0005-0000-0000-000039000000}"/>
    <cellStyle name="Percent 7" xfId="55" xr:uid="{00000000-0005-0000-0000-00003A000000}"/>
    <cellStyle name="Percent 7 2" xfId="56" xr:uid="{00000000-0005-0000-0000-00003B000000}"/>
    <cellStyle name="Percent 8" xfId="6" xr:uid="{00000000-0005-0000-0000-00003C000000}"/>
    <cellStyle name="Percent 9" xfId="8" xr:uid="{00000000-0005-0000-0000-00003D000000}"/>
    <cellStyle name="Style 168" xfId="57" xr:uid="{00000000-0005-0000-0000-00003E000000}"/>
    <cellStyle name="Style 21" xfId="58" xr:uid="{00000000-0005-0000-0000-00003F000000}"/>
    <cellStyle name="Style 22" xfId="59" xr:uid="{00000000-0005-0000-0000-000040000000}"/>
    <cellStyle name="Style 23" xfId="60" xr:uid="{00000000-0005-0000-0000-000041000000}"/>
    <cellStyle name="Style 24" xfId="61" xr:uid="{00000000-0005-0000-0000-000042000000}"/>
    <cellStyle name="Style 25" xfId="62" xr:uid="{00000000-0005-0000-0000-000043000000}"/>
    <cellStyle name="Style 26" xfId="63" xr:uid="{00000000-0005-0000-0000-000044000000}"/>
    <cellStyle name="Style 27" xfId="64" xr:uid="{00000000-0005-0000-0000-000045000000}"/>
    <cellStyle name="Style 28" xfId="65" xr:uid="{00000000-0005-0000-0000-000046000000}"/>
    <cellStyle name="Style 29" xfId="66" xr:uid="{00000000-0005-0000-0000-000047000000}"/>
    <cellStyle name="Style 30" xfId="67" xr:uid="{00000000-0005-0000-0000-000048000000}"/>
    <cellStyle name="Style 31" xfId="68" xr:uid="{00000000-0005-0000-0000-000049000000}"/>
    <cellStyle name="Style 32" xfId="69" xr:uid="{00000000-0005-0000-0000-00004A000000}"/>
    <cellStyle name="Style 33" xfId="70" xr:uid="{00000000-0005-0000-0000-00004B000000}"/>
    <cellStyle name="Style 34" xfId="71" xr:uid="{00000000-0005-0000-0000-00004C000000}"/>
    <cellStyle name="Style 35" xfId="72" xr:uid="{00000000-0005-0000-0000-00004D000000}"/>
    <cellStyle name="Style 36" xfId="73" xr:uid="{00000000-0005-0000-0000-00004E000000}"/>
    <cellStyle name="Style 37" xfId="74" xr:uid="{00000000-0005-0000-0000-00004F000000}"/>
    <cellStyle name="Style 38" xfId="75" xr:uid="{00000000-0005-0000-0000-000050000000}"/>
    <cellStyle name="Style 82" xfId="76" xr:uid="{00000000-0005-0000-0000-00005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00_07_Cabrillo%201\Final%20Adjusted\ENCI072000AF-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GOS\RMR\2001_04_Duke\Initial%20Estimated\SOUT042001EP-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A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vel1"/>
      <sheetName val="Level 1 Explaination"/>
      <sheetName val="Level2"/>
      <sheetName val="NonRMR Heat Input"/>
      <sheetName val="HR Coeff"/>
      <sheetName val="Hrly Emissions"/>
      <sheetName val="Emissions Input"/>
      <sheetName val="Daily Fuel Price"/>
      <sheetName val="Interest Rate Calculation"/>
      <sheetName val="ConstantsTable"/>
      <sheetName val="Data Dictionary"/>
    </sheetNames>
    <sheetDataSet>
      <sheetData sheetId="0" refreshError="1"/>
      <sheetData sheetId="1" refreshError="1"/>
      <sheetData sheetId="2" refreshError="1">
        <row r="2">
          <cell r="K2" t="str">
            <v>E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31"/>
  <sheetViews>
    <sheetView zoomScale="85" zoomScaleNormal="85" workbookViewId="0">
      <selection activeCell="C46" sqref="C46"/>
    </sheetView>
  </sheetViews>
  <sheetFormatPr defaultColWidth="9.140625" defaultRowHeight="11.25" x14ac:dyDescent="0.2"/>
  <cols>
    <col min="1" max="1" width="9.28515625" style="6" customWidth="1"/>
    <col min="2" max="2" width="39.28515625" style="6" customWidth="1"/>
    <col min="3" max="3" width="76.5703125" style="6" customWidth="1"/>
    <col min="4" max="16384" width="9.140625" style="6"/>
  </cols>
  <sheetData>
    <row r="1" spans="1:7" ht="12.75" x14ac:dyDescent="0.2">
      <c r="A1" s="232" t="s">
        <v>308</v>
      </c>
      <c r="B1" s="232"/>
      <c r="C1" s="232"/>
      <c r="D1" s="20"/>
      <c r="E1" s="20"/>
      <c r="F1" s="20"/>
      <c r="G1" s="20"/>
    </row>
    <row r="2" spans="1:7" ht="12.75" x14ac:dyDescent="0.2">
      <c r="A2" s="232" t="s">
        <v>312</v>
      </c>
      <c r="B2" s="232"/>
      <c r="C2" s="232"/>
      <c r="D2" s="20"/>
      <c r="E2" s="20"/>
      <c r="F2" s="20"/>
      <c r="G2" s="20"/>
    </row>
    <row r="3" spans="1:7" ht="12.75" x14ac:dyDescent="0.2">
      <c r="A3" s="232" t="s">
        <v>309</v>
      </c>
      <c r="B3" s="232"/>
      <c r="C3" s="232"/>
      <c r="D3" s="20"/>
      <c r="E3" s="20"/>
      <c r="F3" s="20"/>
      <c r="G3" s="20"/>
    </row>
    <row r="4" spans="1:7" ht="12.75" x14ac:dyDescent="0.2">
      <c r="A4" s="14"/>
      <c r="B4" s="15"/>
      <c r="C4" s="14"/>
    </row>
    <row r="5" spans="1:7" ht="12.75" x14ac:dyDescent="0.2">
      <c r="A5" s="16">
        <v>1</v>
      </c>
      <c r="B5" s="17" t="s">
        <v>166</v>
      </c>
      <c r="C5" s="18" t="s">
        <v>167</v>
      </c>
    </row>
    <row r="6" spans="1:7" ht="12.75" x14ac:dyDescent="0.2">
      <c r="A6" s="16"/>
      <c r="B6" s="17"/>
      <c r="C6" s="18"/>
    </row>
    <row r="7" spans="1:7" ht="12.75" x14ac:dyDescent="0.2">
      <c r="A7" s="16">
        <f>A5+1</f>
        <v>2</v>
      </c>
      <c r="B7" s="19" t="s">
        <v>168</v>
      </c>
      <c r="C7" s="18" t="s">
        <v>169</v>
      </c>
    </row>
    <row r="8" spans="1:7" ht="12.75" x14ac:dyDescent="0.2">
      <c r="A8" s="16"/>
      <c r="B8" s="19"/>
      <c r="C8" s="18"/>
    </row>
    <row r="9" spans="1:7" ht="12.75" x14ac:dyDescent="0.2">
      <c r="A9" s="16">
        <f>A7+1</f>
        <v>3</v>
      </c>
      <c r="B9" s="19" t="s">
        <v>171</v>
      </c>
      <c r="C9" s="18" t="s">
        <v>170</v>
      </c>
    </row>
    <row r="10" spans="1:7" ht="12.75" x14ac:dyDescent="0.2">
      <c r="A10" s="16"/>
      <c r="B10" s="19"/>
      <c r="C10" s="18"/>
    </row>
    <row r="11" spans="1:7" ht="12.75" x14ac:dyDescent="0.2">
      <c r="A11" s="16">
        <f>A9+1</f>
        <v>4</v>
      </c>
      <c r="B11" s="19" t="s">
        <v>172</v>
      </c>
      <c r="C11" s="18" t="s">
        <v>277</v>
      </c>
    </row>
    <row r="12" spans="1:7" ht="12.75" x14ac:dyDescent="0.2">
      <c r="A12" s="16"/>
      <c r="B12" s="19"/>
      <c r="C12" s="18"/>
    </row>
    <row r="13" spans="1:7" ht="12.75" x14ac:dyDescent="0.2">
      <c r="A13" s="16">
        <f>A11+1</f>
        <v>5</v>
      </c>
      <c r="B13" s="19" t="s">
        <v>173</v>
      </c>
      <c r="C13" s="18" t="s">
        <v>285</v>
      </c>
    </row>
    <row r="14" spans="1:7" ht="12.75" x14ac:dyDescent="0.2">
      <c r="A14" s="16"/>
      <c r="B14" s="19"/>
      <c r="C14" s="18"/>
    </row>
    <row r="15" spans="1:7" ht="12.75" x14ac:dyDescent="0.2">
      <c r="A15" s="16">
        <f>A13+1</f>
        <v>6</v>
      </c>
      <c r="B15" s="19" t="s">
        <v>222</v>
      </c>
      <c r="C15" s="18" t="s">
        <v>224</v>
      </c>
    </row>
    <row r="16" spans="1:7" ht="12.75" x14ac:dyDescent="0.2">
      <c r="A16" s="16"/>
      <c r="B16" s="19"/>
      <c r="C16" s="18"/>
    </row>
    <row r="17" spans="1:3" ht="12.75" x14ac:dyDescent="0.2">
      <c r="A17" s="16">
        <f>A15+1</f>
        <v>7</v>
      </c>
      <c r="B17" s="19" t="s">
        <v>199</v>
      </c>
      <c r="C17" s="18" t="s">
        <v>286</v>
      </c>
    </row>
    <row r="18" spans="1:3" ht="12.75" x14ac:dyDescent="0.2">
      <c r="A18" s="16"/>
      <c r="B18" s="19"/>
      <c r="C18" s="18"/>
    </row>
    <row r="19" spans="1:3" ht="12.75" x14ac:dyDescent="0.2">
      <c r="A19" s="16">
        <f>A17+1</f>
        <v>8</v>
      </c>
      <c r="B19" s="19" t="s">
        <v>223</v>
      </c>
      <c r="C19" s="18" t="s">
        <v>287</v>
      </c>
    </row>
    <row r="20" spans="1:3" ht="12.75" x14ac:dyDescent="0.2">
      <c r="A20" s="16"/>
      <c r="B20" s="19"/>
      <c r="C20" s="18"/>
    </row>
    <row r="21" spans="1:3" ht="12.75" x14ac:dyDescent="0.2">
      <c r="A21" s="16"/>
      <c r="B21" s="19"/>
      <c r="C21" s="17"/>
    </row>
    <row r="22" spans="1:3" ht="12.75" x14ac:dyDescent="0.2">
      <c r="A22" s="16"/>
      <c r="B22" s="19"/>
      <c r="C22" s="18"/>
    </row>
    <row r="23" spans="1:3" ht="12.75" x14ac:dyDescent="0.2">
      <c r="A23" s="16"/>
      <c r="B23" s="19"/>
      <c r="C23" s="18"/>
    </row>
    <row r="24" spans="1:3" ht="12.75" x14ac:dyDescent="0.2">
      <c r="A24" s="16"/>
      <c r="B24" s="19"/>
      <c r="C24" s="18"/>
    </row>
    <row r="25" spans="1:3" ht="12.75" x14ac:dyDescent="0.2">
      <c r="A25" s="16"/>
      <c r="B25" s="19"/>
      <c r="C25" s="18"/>
    </row>
    <row r="26" spans="1:3" ht="12.75" x14ac:dyDescent="0.2">
      <c r="A26" s="16"/>
      <c r="B26" s="19"/>
      <c r="C26" s="18"/>
    </row>
    <row r="27" spans="1:3" ht="12.75" x14ac:dyDescent="0.2">
      <c r="A27" s="16"/>
      <c r="B27" s="19"/>
      <c r="C27" s="17"/>
    </row>
    <row r="28" spans="1:3" ht="12.75" x14ac:dyDescent="0.2">
      <c r="A28" s="16"/>
      <c r="B28" s="19"/>
      <c r="C28" s="18"/>
    </row>
    <row r="29" spans="1:3" ht="12.75" x14ac:dyDescent="0.2">
      <c r="A29" s="16"/>
      <c r="B29" s="19"/>
      <c r="C29" s="18"/>
    </row>
    <row r="30" spans="1:3" ht="12.75" x14ac:dyDescent="0.2">
      <c r="A30" s="16"/>
      <c r="B30" s="19"/>
      <c r="C30" s="18"/>
    </row>
    <row r="31" spans="1:3" ht="12.75" x14ac:dyDescent="0.2">
      <c r="A31" s="16"/>
      <c r="B31" s="19"/>
      <c r="C31" s="17"/>
    </row>
  </sheetData>
  <mergeCells count="3">
    <mergeCell ref="A1:C1"/>
    <mergeCell ref="A2:C2"/>
    <mergeCell ref="A3:C3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8F608-5E04-4D58-B925-4424F127C0F9}">
  <sheetPr>
    <pageSetUpPr fitToPage="1"/>
  </sheetPr>
  <dimension ref="A1:Q349"/>
  <sheetViews>
    <sheetView tabSelected="1" zoomScale="80" zoomScaleNormal="80" zoomScaleSheetLayoutView="80" workbookViewId="0">
      <selection sqref="A1:G1"/>
    </sheetView>
  </sheetViews>
  <sheetFormatPr defaultColWidth="9.140625" defaultRowHeight="15" x14ac:dyDescent="0.25"/>
  <cols>
    <col min="1" max="1" width="35" style="86" customWidth="1"/>
    <col min="2" max="2" width="5.5703125" style="86" customWidth="1"/>
    <col min="3" max="3" width="28" style="86" bestFit="1" customWidth="1"/>
    <col min="4" max="4" width="10.7109375" style="86" bestFit="1" customWidth="1"/>
    <col min="5" max="5" width="22" style="86" bestFit="1" customWidth="1"/>
    <col min="6" max="6" width="19.85546875" style="86" bestFit="1" customWidth="1"/>
    <col min="7" max="7" width="17" style="86" customWidth="1"/>
    <col min="8" max="8" width="16.7109375" style="86" bestFit="1" customWidth="1"/>
    <col min="9" max="9" width="16.28515625" style="86" bestFit="1" customWidth="1"/>
    <col min="10" max="10" width="16.85546875" style="86" bestFit="1" customWidth="1"/>
    <col min="11" max="11" width="14.5703125" style="86" customWidth="1"/>
    <col min="12" max="12" width="27.140625" style="86" bestFit="1" customWidth="1"/>
    <col min="13" max="13" width="20.85546875" style="86" bestFit="1" customWidth="1"/>
    <col min="14" max="14" width="10.5703125" style="86" bestFit="1" customWidth="1"/>
    <col min="15" max="15" width="10.28515625" style="86" bestFit="1" customWidth="1"/>
    <col min="16" max="16" width="17.85546875" style="86" bestFit="1" customWidth="1"/>
    <col min="17" max="16384" width="9.140625" style="86"/>
  </cols>
  <sheetData>
    <row r="1" spans="1:16" s="1" customFormat="1" ht="12.75" x14ac:dyDescent="0.2">
      <c r="A1" s="232" t="s">
        <v>308</v>
      </c>
      <c r="B1" s="232"/>
      <c r="C1" s="232"/>
      <c r="D1" s="232"/>
      <c r="E1" s="232"/>
      <c r="F1" s="232"/>
      <c r="G1" s="232"/>
    </row>
    <row r="2" spans="1:16" s="1" customFormat="1" ht="12.75" x14ac:dyDescent="0.2">
      <c r="A2" s="232" t="s">
        <v>312</v>
      </c>
      <c r="B2" s="232"/>
      <c r="C2" s="232"/>
      <c r="D2" s="232"/>
      <c r="E2" s="232"/>
      <c r="F2" s="232"/>
      <c r="G2" s="232"/>
      <c r="N2" s="2"/>
      <c r="O2" s="2"/>
    </row>
    <row r="3" spans="1:16" s="1" customFormat="1" ht="12.75" x14ac:dyDescent="0.2">
      <c r="A3" s="232" t="s">
        <v>309</v>
      </c>
      <c r="B3" s="232"/>
      <c r="C3" s="232"/>
      <c r="D3" s="232"/>
      <c r="E3" s="232"/>
      <c r="F3" s="232"/>
      <c r="G3" s="232"/>
      <c r="N3" s="2"/>
      <c r="O3" s="2"/>
    </row>
    <row r="5" spans="1:16" s="1" customFormat="1" ht="12.75" x14ac:dyDescent="0.2">
      <c r="C5" s="173"/>
    </row>
    <row r="6" spans="1:16" ht="15.75" x14ac:dyDescent="0.25">
      <c r="A6" s="240" t="s">
        <v>54</v>
      </c>
      <c r="B6" s="240"/>
      <c r="C6" s="240"/>
      <c r="D6" s="240"/>
      <c r="E6" s="240"/>
      <c r="F6" s="240"/>
      <c r="G6" s="240"/>
      <c r="I6" s="115"/>
      <c r="J6" s="104"/>
      <c r="L6" s="172"/>
      <c r="M6" s="172"/>
      <c r="N6" s="172"/>
      <c r="O6" s="172"/>
      <c r="P6" s="172"/>
    </row>
    <row r="7" spans="1:16" ht="15.75" x14ac:dyDescent="0.25">
      <c r="A7" s="87"/>
      <c r="B7" s="87"/>
      <c r="C7" s="87"/>
      <c r="D7" s="87"/>
      <c r="E7" s="87"/>
      <c r="F7" s="87"/>
      <c r="G7" s="87"/>
    </row>
    <row r="8" spans="1:16" ht="15.75" x14ac:dyDescent="0.25">
      <c r="A8" s="88" t="s">
        <v>53</v>
      </c>
      <c r="B8" s="87"/>
      <c r="C8" s="89"/>
      <c r="D8" s="87"/>
      <c r="E8" s="89"/>
      <c r="F8" s="89"/>
      <c r="G8" s="89"/>
      <c r="H8" s="90"/>
      <c r="I8" s="90"/>
      <c r="J8" s="90"/>
    </row>
    <row r="9" spans="1:16" ht="15.75" x14ac:dyDescent="0.25">
      <c r="A9" s="89"/>
      <c r="B9" s="87"/>
      <c r="C9" s="89"/>
      <c r="D9" s="87"/>
      <c r="E9" s="89"/>
      <c r="F9" s="89"/>
      <c r="G9" s="89"/>
      <c r="H9" s="90"/>
      <c r="I9" s="90"/>
      <c r="J9" s="90"/>
    </row>
    <row r="10" spans="1:16" ht="15.75" x14ac:dyDescent="0.25">
      <c r="A10" s="91" t="s">
        <v>278</v>
      </c>
      <c r="B10" s="87"/>
      <c r="C10" s="175">
        <v>115112231</v>
      </c>
      <c r="D10" s="87"/>
      <c r="E10" s="91"/>
      <c r="F10" s="89"/>
      <c r="G10" s="92"/>
      <c r="H10" s="87"/>
      <c r="I10" s="90"/>
      <c r="J10" s="90"/>
    </row>
    <row r="11" spans="1:16" ht="15.75" hidden="1" x14ac:dyDescent="0.25">
      <c r="A11" s="91"/>
      <c r="B11" s="87"/>
      <c r="C11" s="175"/>
      <c r="D11" s="87"/>
      <c r="E11" s="91"/>
      <c r="F11" s="89"/>
      <c r="G11" s="93"/>
      <c r="H11" s="87"/>
      <c r="I11" s="90"/>
      <c r="J11" s="90"/>
    </row>
    <row r="12" spans="1:16" ht="15.75" x14ac:dyDescent="0.25">
      <c r="A12" s="94" t="s">
        <v>37</v>
      </c>
      <c r="B12" s="87"/>
      <c r="C12" s="176">
        <v>9000000</v>
      </c>
      <c r="D12" s="87"/>
      <c r="E12" s="91"/>
      <c r="F12" s="89"/>
      <c r="G12" s="95"/>
      <c r="H12" s="87"/>
      <c r="I12" s="90"/>
      <c r="J12" s="90"/>
    </row>
    <row r="13" spans="1:16" ht="15.75" x14ac:dyDescent="0.25">
      <c r="A13" s="96" t="s">
        <v>51</v>
      </c>
      <c r="B13" s="87"/>
      <c r="C13" s="97">
        <f>SUM(C10:C12)</f>
        <v>124112231</v>
      </c>
      <c r="D13" s="87"/>
      <c r="E13" s="89"/>
      <c r="F13" s="89"/>
      <c r="G13" s="89"/>
      <c r="H13" s="90"/>
      <c r="I13" s="90"/>
      <c r="J13" s="90"/>
    </row>
    <row r="14" spans="1:16" ht="15.75" x14ac:dyDescent="0.25">
      <c r="A14" s="96"/>
      <c r="B14" s="87"/>
      <c r="C14" s="89"/>
      <c r="D14" s="87"/>
      <c r="E14" s="89"/>
      <c r="F14" s="89"/>
      <c r="G14" s="89"/>
      <c r="H14" s="90"/>
      <c r="I14" s="90"/>
      <c r="J14" s="90"/>
    </row>
    <row r="15" spans="1:16" ht="15.75" x14ac:dyDescent="0.25">
      <c r="A15" s="91"/>
      <c r="B15" s="87"/>
      <c r="C15" s="98"/>
      <c r="D15" s="87"/>
      <c r="E15" s="89"/>
      <c r="F15" s="89"/>
      <c r="G15" s="89"/>
      <c r="H15" s="90"/>
      <c r="I15" s="90"/>
      <c r="J15" s="90"/>
    </row>
    <row r="16" spans="1:16" ht="15.75" x14ac:dyDescent="0.25">
      <c r="A16" s="88"/>
      <c r="B16" s="87"/>
      <c r="C16" s="89"/>
      <c r="D16" s="87"/>
      <c r="E16" s="89"/>
      <c r="F16" s="89"/>
      <c r="G16" s="89"/>
      <c r="H16" s="90"/>
      <c r="I16" s="90"/>
      <c r="J16" s="90"/>
    </row>
    <row r="17" spans="1:14" ht="15.75" x14ac:dyDescent="0.25">
      <c r="A17" s="88" t="s">
        <v>50</v>
      </c>
      <c r="B17" s="87"/>
      <c r="C17" s="89"/>
      <c r="D17" s="87"/>
      <c r="E17" s="89"/>
      <c r="F17" s="89"/>
      <c r="G17" s="89"/>
      <c r="H17" s="90"/>
      <c r="I17" s="90"/>
      <c r="J17" s="90"/>
    </row>
    <row r="18" spans="1:14" ht="39" x14ac:dyDescent="0.25">
      <c r="A18" s="96"/>
      <c r="B18" s="87"/>
      <c r="C18" s="99" t="s">
        <v>288</v>
      </c>
      <c r="D18" s="87"/>
      <c r="E18" s="99" t="s">
        <v>49</v>
      </c>
      <c r="F18" s="99" t="s">
        <v>48</v>
      </c>
      <c r="G18" s="99" t="s">
        <v>289</v>
      </c>
      <c r="H18" s="90"/>
      <c r="I18" s="90"/>
      <c r="J18" s="90"/>
    </row>
    <row r="19" spans="1:14" ht="12" customHeight="1" x14ac:dyDescent="0.25">
      <c r="A19" s="96"/>
      <c r="B19" s="87"/>
      <c r="C19" s="89"/>
      <c r="D19" s="87"/>
      <c r="E19" s="89"/>
      <c r="F19" s="89"/>
      <c r="G19" s="89"/>
      <c r="H19" s="90"/>
      <c r="I19" s="90"/>
      <c r="J19" s="90"/>
    </row>
    <row r="20" spans="1:14" ht="12" customHeight="1" x14ac:dyDescent="0.25">
      <c r="A20" s="96" t="s">
        <v>10</v>
      </c>
      <c r="B20" s="87"/>
      <c r="C20" s="178">
        <v>6652988141.1181479</v>
      </c>
      <c r="D20" s="171"/>
      <c r="E20" s="178">
        <v>1016702651.3608736</v>
      </c>
      <c r="F20" s="179">
        <f>C20-E20</f>
        <v>5636285489.7572746</v>
      </c>
      <c r="G20" s="180">
        <f>F20/$F$30</f>
        <v>0.31695711820870948</v>
      </c>
      <c r="H20" s="21"/>
      <c r="I20" s="90"/>
      <c r="K20" s="1"/>
      <c r="L20" s="5" t="s">
        <v>47</v>
      </c>
      <c r="M20" s="5" t="s">
        <v>46</v>
      </c>
      <c r="N20" s="2"/>
    </row>
    <row r="21" spans="1:14" ht="12" customHeight="1" x14ac:dyDescent="0.25">
      <c r="A21" s="96"/>
      <c r="B21" s="87"/>
      <c r="C21" s="178"/>
      <c r="D21" s="171"/>
      <c r="E21" s="181"/>
      <c r="F21" s="179"/>
      <c r="G21" s="180"/>
      <c r="H21" s="22"/>
      <c r="I21" s="23"/>
      <c r="K21" s="1" t="s">
        <v>45</v>
      </c>
      <c r="L21" s="3">
        <f>C36+C73+F90+F107+F126+C170+C214+C255+C296+F319</f>
        <v>78345891.815226614</v>
      </c>
      <c r="M21" s="4">
        <f>L21/$L$26</f>
        <v>0.31445086254271098</v>
      </c>
      <c r="N21" s="2"/>
    </row>
    <row r="22" spans="1:14" ht="12" customHeight="1" x14ac:dyDescent="0.25">
      <c r="A22" s="96" t="s">
        <v>2</v>
      </c>
      <c r="B22" s="87"/>
      <c r="C22" s="178">
        <v>2200347912.2960796</v>
      </c>
      <c r="D22" s="171"/>
      <c r="E22" s="178">
        <v>2271745.422114118</v>
      </c>
      <c r="F22" s="179">
        <f>C22-E22</f>
        <v>2198076166.8739657</v>
      </c>
      <c r="G22" s="180">
        <f>F22/$F$30</f>
        <v>0.12360904867606727</v>
      </c>
      <c r="H22" s="21"/>
      <c r="I22" s="22"/>
      <c r="K22" s="1" t="s">
        <v>2</v>
      </c>
      <c r="L22" s="3">
        <f>C38+C75+F92+F109+F128+C172+C216+C257+C298+F321</f>
        <v>32465564.610606808</v>
      </c>
      <c r="M22" s="4">
        <f>L22/$L$26</f>
        <v>0.13030453235273948</v>
      </c>
      <c r="N22" s="2"/>
    </row>
    <row r="23" spans="1:14" ht="12" customHeight="1" x14ac:dyDescent="0.25">
      <c r="A23" s="96"/>
      <c r="B23" s="87"/>
      <c r="C23" s="178"/>
      <c r="D23" s="171"/>
      <c r="E23" s="178"/>
      <c r="F23" s="179"/>
      <c r="G23" s="180"/>
      <c r="H23" s="21"/>
      <c r="I23" s="22"/>
      <c r="K23" s="1" t="s">
        <v>44</v>
      </c>
      <c r="L23" s="3">
        <f>C40+C77+F94+F111+F130+C174+C218+C259+C300+F323</f>
        <v>133802789.5752452</v>
      </c>
      <c r="M23" s="4">
        <f>L23/$L$26</f>
        <v>0.53703393525452858</v>
      </c>
      <c r="N23" s="2"/>
    </row>
    <row r="24" spans="1:14" ht="12" customHeight="1" x14ac:dyDescent="0.25">
      <c r="A24" s="96" t="s">
        <v>9</v>
      </c>
      <c r="B24" s="87"/>
      <c r="C24" s="178">
        <v>9632944256.333025</v>
      </c>
      <c r="D24" s="171"/>
      <c r="E24" s="178">
        <v>14658222.763086554</v>
      </c>
      <c r="F24" s="179">
        <f>C24-E24</f>
        <v>9618286033.5699387</v>
      </c>
      <c r="G24" s="180">
        <f>F24/$F$30</f>
        <v>0.54088534529479504</v>
      </c>
      <c r="H24" s="21"/>
      <c r="I24" s="22"/>
      <c r="K24" s="1" t="s">
        <v>1</v>
      </c>
      <c r="L24" s="3">
        <f>C42+C79+F96+F113+F132+C176+C220+C261+C302+F325</f>
        <v>4403296.2096581068</v>
      </c>
      <c r="M24" s="4">
        <f>L24/$L$26</f>
        <v>1.767317033576659E-2</v>
      </c>
      <c r="N24" s="2"/>
    </row>
    <row r="25" spans="1:14" ht="12" customHeight="1" x14ac:dyDescent="0.25">
      <c r="A25" s="96"/>
      <c r="B25" s="87"/>
      <c r="C25" s="178"/>
      <c r="D25" s="171"/>
      <c r="E25" s="179"/>
      <c r="F25" s="179"/>
      <c r="G25" s="180"/>
      <c r="H25" s="24"/>
      <c r="I25" s="23"/>
      <c r="K25" s="1" t="s">
        <v>43</v>
      </c>
      <c r="L25" s="40">
        <f>F98+F115+F134+C222+C263+F327</f>
        <v>133918.78926323709</v>
      </c>
      <c r="M25" s="4">
        <f>L25/$L$26</f>
        <v>5.3749951425425147E-4</v>
      </c>
      <c r="N25" s="2"/>
    </row>
    <row r="26" spans="1:14" ht="12" customHeight="1" x14ac:dyDescent="0.25">
      <c r="A26" s="96" t="s">
        <v>8</v>
      </c>
      <c r="B26" s="87"/>
      <c r="C26" s="178">
        <v>329838223.38509023</v>
      </c>
      <c r="D26" s="171"/>
      <c r="E26" s="182"/>
      <c r="F26" s="179">
        <f>C26-E26</f>
        <v>329838223.38509023</v>
      </c>
      <c r="G26" s="180">
        <f>F26/$F$30</f>
        <v>1.8548487820428158E-2</v>
      </c>
      <c r="H26" s="21"/>
      <c r="I26" s="22"/>
      <c r="K26" s="1" t="s">
        <v>7</v>
      </c>
      <c r="L26" s="3">
        <f>C44+C81+F100+F117+F136+C178+C224+C265+C304+F329</f>
        <v>249151461</v>
      </c>
      <c r="M26" s="1"/>
      <c r="N26" s="2"/>
    </row>
    <row r="27" spans="1:14" ht="12" customHeight="1" x14ac:dyDescent="0.25">
      <c r="A27" s="89"/>
      <c r="B27" s="87"/>
      <c r="C27" s="178"/>
      <c r="D27" s="171"/>
      <c r="E27" s="182"/>
      <c r="F27" s="179"/>
      <c r="G27" s="183"/>
      <c r="H27" s="24"/>
      <c r="I27" s="22"/>
    </row>
    <row r="28" spans="1:14" ht="12" customHeight="1" x14ac:dyDescent="0.25">
      <c r="A28" s="89" t="s">
        <v>0</v>
      </c>
      <c r="B28" s="87"/>
      <c r="C28" s="154">
        <v>85800427</v>
      </c>
      <c r="D28" s="171"/>
      <c r="E28" s="154"/>
      <c r="F28" s="154">
        <v>0</v>
      </c>
      <c r="G28" s="184"/>
      <c r="H28" s="22"/>
      <c r="I28" s="22"/>
      <c r="K28" s="159"/>
      <c r="L28" s="169"/>
    </row>
    <row r="29" spans="1:14" ht="12" customHeight="1" x14ac:dyDescent="0.25">
      <c r="A29" s="89"/>
      <c r="B29" s="87"/>
      <c r="C29" s="89"/>
      <c r="D29" s="87"/>
      <c r="E29" s="89"/>
      <c r="F29" s="89"/>
      <c r="G29" s="102"/>
      <c r="H29" s="90"/>
      <c r="I29" s="90"/>
    </row>
    <row r="30" spans="1:14" ht="12" customHeight="1" x14ac:dyDescent="0.25">
      <c r="A30" s="89" t="s">
        <v>34</v>
      </c>
      <c r="B30" s="87"/>
      <c r="C30" s="100">
        <f>SUM(C20:C28)</f>
        <v>18901918960.132343</v>
      </c>
      <c r="D30" s="103" t="s">
        <v>33</v>
      </c>
      <c r="E30" s="100">
        <f>SUM(E20:E28)</f>
        <v>1033632619.5460743</v>
      </c>
      <c r="F30" s="100">
        <f>SUM(F20:F28)</f>
        <v>17782485913.586269</v>
      </c>
      <c r="G30" s="102">
        <f>SUM(G20:G26)</f>
        <v>0.99999999999999989</v>
      </c>
      <c r="H30" s="90"/>
      <c r="I30" s="90"/>
    </row>
    <row r="31" spans="1:14" ht="12" customHeight="1" x14ac:dyDescent="0.25">
      <c r="A31" s="89"/>
      <c r="B31" s="87"/>
      <c r="C31" s="89"/>
      <c r="D31" s="87"/>
      <c r="E31" s="89"/>
      <c r="H31" s="90"/>
      <c r="I31" s="90"/>
    </row>
    <row r="32" spans="1:14" ht="12" customHeight="1" x14ac:dyDescent="0.25">
      <c r="A32" s="89"/>
      <c r="B32" s="87"/>
      <c r="C32" s="89"/>
      <c r="D32" s="87"/>
      <c r="E32" s="89"/>
      <c r="F32" s="25"/>
      <c r="G32" s="165"/>
      <c r="H32" s="90"/>
      <c r="I32" s="90"/>
    </row>
    <row r="33" spans="1:10" ht="12" customHeight="1" x14ac:dyDescent="0.25">
      <c r="A33" s="88" t="s">
        <v>42</v>
      </c>
      <c r="B33" s="87"/>
      <c r="C33" s="89"/>
      <c r="D33" s="87"/>
      <c r="E33" s="89"/>
      <c r="F33" s="89"/>
      <c r="G33" s="89"/>
      <c r="H33" s="90"/>
      <c r="I33" s="90"/>
    </row>
    <row r="34" spans="1:10" ht="39" x14ac:dyDescent="0.25">
      <c r="A34" s="89"/>
      <c r="B34" s="89"/>
      <c r="C34" s="99" t="s">
        <v>41</v>
      </c>
      <c r="D34" s="105"/>
      <c r="E34" s="99" t="s">
        <v>40</v>
      </c>
      <c r="F34" s="89"/>
      <c r="G34" s="89"/>
    </row>
    <row r="35" spans="1:10" ht="12" customHeight="1" x14ac:dyDescent="0.25">
      <c r="A35" s="89"/>
      <c r="B35" s="89"/>
      <c r="C35" s="103"/>
      <c r="D35" s="103"/>
      <c r="E35" s="103"/>
      <c r="F35" s="89"/>
      <c r="G35" s="106"/>
    </row>
    <row r="36" spans="1:10" ht="12" customHeight="1" x14ac:dyDescent="0.25">
      <c r="A36" s="89" t="s">
        <v>10</v>
      </c>
      <c r="B36" s="89"/>
      <c r="C36" s="107">
        <f>$C$13*G20</f>
        <v>39338255.072213657</v>
      </c>
      <c r="D36" s="103"/>
      <c r="E36" s="108">
        <f>C36/F20</f>
        <v>6.9794646037186006E-3</v>
      </c>
      <c r="F36" s="89"/>
      <c r="G36" s="109"/>
    </row>
    <row r="37" spans="1:10" ht="12" customHeight="1" x14ac:dyDescent="0.25">
      <c r="A37" s="89"/>
      <c r="B37" s="89"/>
      <c r="C37" s="107"/>
      <c r="D37" s="103"/>
      <c r="E37" s="108"/>
      <c r="F37" s="89"/>
      <c r="G37" s="89"/>
    </row>
    <row r="38" spans="1:10" ht="12" customHeight="1" x14ac:dyDescent="0.25">
      <c r="A38" s="89" t="s">
        <v>2</v>
      </c>
      <c r="B38" s="89"/>
      <c r="C38" s="107">
        <f>$C$13*G22</f>
        <v>15341394.802974306</v>
      </c>
      <c r="D38" s="103"/>
      <c r="E38" s="108">
        <f>C38/F22</f>
        <v>6.9794646037186015E-3</v>
      </c>
      <c r="F38" s="89"/>
      <c r="G38" s="89"/>
    </row>
    <row r="39" spans="1:10" ht="12" customHeight="1" x14ac:dyDescent="0.25">
      <c r="A39" s="89"/>
      <c r="B39" s="89"/>
      <c r="C39" s="107"/>
      <c r="D39" s="103"/>
      <c r="E39" s="110"/>
      <c r="F39" s="89"/>
      <c r="G39" s="89"/>
    </row>
    <row r="40" spans="1:10" ht="12" customHeight="1" x14ac:dyDescent="0.25">
      <c r="A40" s="89" t="s">
        <v>9</v>
      </c>
      <c r="B40" s="89"/>
      <c r="C40" s="107">
        <f>$C$13*G24</f>
        <v>67130486.919742361</v>
      </c>
      <c r="D40" s="103"/>
      <c r="E40" s="108">
        <f>C40/F24</f>
        <v>6.9794646037186006E-3</v>
      </c>
      <c r="F40" s="89"/>
      <c r="G40" s="89"/>
    </row>
    <row r="41" spans="1:10" ht="12" customHeight="1" x14ac:dyDescent="0.25">
      <c r="A41" s="89"/>
      <c r="B41" s="89"/>
      <c r="C41" s="107"/>
      <c r="D41" s="103"/>
      <c r="E41" s="108"/>
      <c r="F41" s="89"/>
      <c r="G41" s="89"/>
    </row>
    <row r="42" spans="1:10" ht="12" customHeight="1" x14ac:dyDescent="0.25">
      <c r="A42" s="89" t="s">
        <v>8</v>
      </c>
      <c r="B42" s="89"/>
      <c r="C42" s="111">
        <f>$C$13*G26</f>
        <v>2302094.2050696663</v>
      </c>
      <c r="D42" s="103"/>
      <c r="E42" s="112">
        <f>C42/F26</f>
        <v>6.9794646037186015E-3</v>
      </c>
      <c r="F42" s="89"/>
      <c r="G42" s="89"/>
    </row>
    <row r="43" spans="1:10" ht="12" customHeight="1" x14ac:dyDescent="0.25">
      <c r="A43" s="89"/>
      <c r="B43" s="89"/>
      <c r="C43" s="107"/>
      <c r="D43" s="103"/>
      <c r="E43" s="108"/>
      <c r="F43" s="89"/>
      <c r="G43" s="89"/>
    </row>
    <row r="44" spans="1:10" ht="12" customHeight="1" x14ac:dyDescent="0.25">
      <c r="A44" s="96" t="s">
        <v>29</v>
      </c>
      <c r="B44" s="89"/>
      <c r="C44" s="107">
        <f>SUM(C36:C43)</f>
        <v>124112230.99999999</v>
      </c>
      <c r="D44" s="103"/>
      <c r="E44" s="113">
        <f>C44/F30</f>
        <v>6.9794646037186006E-3</v>
      </c>
      <c r="F44" s="89"/>
      <c r="G44" s="89"/>
    </row>
    <row r="45" spans="1:10" ht="12" customHeight="1" x14ac:dyDescent="0.25">
      <c r="A45" s="89"/>
      <c r="B45" s="87"/>
      <c r="C45" s="89"/>
      <c r="D45" s="87"/>
      <c r="E45" s="89"/>
      <c r="F45" s="26"/>
      <c r="G45" s="114"/>
      <c r="H45" s="90"/>
      <c r="I45" s="90"/>
      <c r="J45" s="90"/>
    </row>
    <row r="46" spans="1:10" ht="12" customHeight="1" x14ac:dyDescent="0.25">
      <c r="A46" s="115"/>
      <c r="B46" s="115"/>
      <c r="C46" s="104"/>
      <c r="D46" s="89"/>
      <c r="E46" s="89"/>
      <c r="F46" s="89"/>
      <c r="G46" s="89"/>
    </row>
    <row r="47" spans="1:10" ht="12" customHeight="1" x14ac:dyDescent="0.25">
      <c r="A47" s="89"/>
      <c r="B47" s="89"/>
      <c r="C47" s="89"/>
      <c r="D47" s="89"/>
      <c r="E47" s="89"/>
      <c r="F47" s="89"/>
      <c r="G47" s="89"/>
    </row>
    <row r="48" spans="1:10" ht="15.75" customHeight="1" x14ac:dyDescent="0.25">
      <c r="A48" s="88" t="s">
        <v>39</v>
      </c>
      <c r="B48" s="89"/>
      <c r="C48" s="89"/>
      <c r="D48" s="89"/>
      <c r="E48" s="89"/>
      <c r="F48" s="89"/>
      <c r="G48" s="89"/>
    </row>
    <row r="49" spans="1:16" x14ac:dyDescent="0.25">
      <c r="A49" s="89"/>
      <c r="B49" s="89"/>
      <c r="C49" s="89"/>
      <c r="D49" s="89"/>
      <c r="E49" s="89"/>
      <c r="F49" s="89"/>
      <c r="G49" s="89"/>
    </row>
    <row r="50" spans="1:16" x14ac:dyDescent="0.25">
      <c r="A50" s="91" t="s">
        <v>38</v>
      </c>
      <c r="B50" s="89"/>
      <c r="C50" s="185">
        <v>15145043</v>
      </c>
      <c r="D50" s="89"/>
      <c r="E50" s="89"/>
      <c r="F50" s="89"/>
      <c r="G50" s="89"/>
    </row>
    <row r="51" spans="1:16" x14ac:dyDescent="0.25">
      <c r="A51" s="116" t="s">
        <v>37</v>
      </c>
      <c r="B51" s="89"/>
      <c r="C51" s="186">
        <v>-2000000</v>
      </c>
      <c r="D51" s="89"/>
      <c r="E51" s="89"/>
      <c r="F51" s="89"/>
      <c r="G51" s="89"/>
    </row>
    <row r="52" spans="1:16" x14ac:dyDescent="0.25">
      <c r="A52" s="91" t="s">
        <v>36</v>
      </c>
      <c r="B52" s="89"/>
      <c r="C52" s="27">
        <f>SUM(C50:C51)</f>
        <v>13145043</v>
      </c>
      <c r="D52" s="89"/>
      <c r="E52" s="89"/>
      <c r="F52" s="89"/>
      <c r="G52" s="89"/>
    </row>
    <row r="53" spans="1:16" x14ac:dyDescent="0.25">
      <c r="A53" s="89"/>
      <c r="B53" s="89"/>
      <c r="C53" s="89"/>
      <c r="D53" s="89"/>
      <c r="E53" s="89"/>
      <c r="F53" s="89"/>
      <c r="G53" s="89"/>
    </row>
    <row r="54" spans="1:16" x14ac:dyDescent="0.25">
      <c r="A54" s="89"/>
      <c r="B54" s="89"/>
      <c r="C54" s="89"/>
      <c r="D54" s="89"/>
      <c r="E54" s="89"/>
      <c r="F54" s="89"/>
      <c r="G54" s="89"/>
    </row>
    <row r="55" spans="1:16" ht="39" customHeight="1" x14ac:dyDescent="0.25">
      <c r="A55" s="89"/>
      <c r="B55" s="89"/>
      <c r="C55" s="99" t="str">
        <f>$C$18</f>
        <v>2019 GRC P2 Sales TY 2020
(kWh)</v>
      </c>
      <c r="D55" s="105"/>
      <c r="E55" s="99" t="s">
        <v>35</v>
      </c>
      <c r="F55" s="99" t="s">
        <v>289</v>
      </c>
      <c r="G55" s="89"/>
      <c r="I55" s="90"/>
      <c r="J55" s="90"/>
      <c r="K55" s="90"/>
      <c r="L55" s="90"/>
      <c r="M55" s="90"/>
      <c r="N55" s="90"/>
      <c r="O55" s="90"/>
      <c r="P55" s="90"/>
    </row>
    <row r="56" spans="1:16" ht="15.75" x14ac:dyDescent="0.25">
      <c r="A56" s="89"/>
      <c r="B56" s="89"/>
      <c r="C56" s="89"/>
      <c r="D56" s="89"/>
      <c r="E56" s="89"/>
      <c r="F56" s="103"/>
      <c r="G56" s="89"/>
      <c r="I56" s="90"/>
      <c r="J56" s="90"/>
      <c r="K56" s="90"/>
      <c r="L56" s="90"/>
      <c r="M56" s="90"/>
      <c r="N56" s="90"/>
      <c r="O56" s="90"/>
      <c r="P56" s="90"/>
    </row>
    <row r="57" spans="1:16" ht="15.75" x14ac:dyDescent="0.25">
      <c r="A57" s="89" t="s">
        <v>10</v>
      </c>
      <c r="B57" s="89"/>
      <c r="C57" s="178">
        <v>6652988141.1181479</v>
      </c>
      <c r="D57" s="187"/>
      <c r="E57" s="179">
        <v>6652988141.1181479</v>
      </c>
      <c r="F57" s="180">
        <f>E57/$E$67</f>
        <v>0.35357920016305383</v>
      </c>
      <c r="G57" s="89"/>
      <c r="I57" s="90"/>
      <c r="J57" s="90"/>
      <c r="K57" s="90"/>
      <c r="L57" s="90"/>
      <c r="M57" s="90"/>
      <c r="N57" s="90"/>
      <c r="O57" s="90"/>
      <c r="P57" s="90"/>
    </row>
    <row r="58" spans="1:16" ht="15.75" x14ac:dyDescent="0.25">
      <c r="A58" s="89"/>
      <c r="B58" s="89"/>
      <c r="C58" s="178"/>
      <c r="D58" s="187"/>
      <c r="E58" s="179"/>
      <c r="F58" s="180"/>
      <c r="G58" s="89"/>
      <c r="I58" s="90"/>
      <c r="J58" s="90"/>
      <c r="K58" s="90"/>
      <c r="L58" s="90"/>
      <c r="M58" s="90"/>
      <c r="N58" s="90"/>
      <c r="O58" s="90"/>
      <c r="P58" s="90"/>
    </row>
    <row r="59" spans="1:16" ht="15.75" x14ac:dyDescent="0.25">
      <c r="A59" s="89" t="s">
        <v>2</v>
      </c>
      <c r="B59" s="89"/>
      <c r="C59" s="178">
        <v>2200347912.2960796</v>
      </c>
      <c r="D59" s="187"/>
      <c r="E59" s="179">
        <v>2200347912.2960796</v>
      </c>
      <c r="F59" s="180">
        <f>E59/$E$67</f>
        <v>0.11693952227297034</v>
      </c>
      <c r="G59" s="89"/>
      <c r="I59" s="90"/>
      <c r="J59" s="90"/>
      <c r="K59" s="90"/>
      <c r="L59" s="90"/>
      <c r="M59" s="90"/>
      <c r="N59" s="90"/>
      <c r="O59" s="90"/>
      <c r="P59" s="90"/>
    </row>
    <row r="60" spans="1:16" ht="15.75" x14ac:dyDescent="0.25">
      <c r="A60" s="89"/>
      <c r="B60" s="89"/>
      <c r="C60" s="178"/>
      <c r="D60" s="187"/>
      <c r="E60" s="179"/>
      <c r="F60" s="180"/>
      <c r="G60" s="89"/>
      <c r="I60" s="90"/>
      <c r="J60" s="90"/>
      <c r="K60" s="90"/>
      <c r="L60" s="90"/>
      <c r="M60" s="90"/>
      <c r="N60" s="90"/>
      <c r="O60" s="90"/>
      <c r="P60" s="90"/>
    </row>
    <row r="61" spans="1:16" ht="15.75" x14ac:dyDescent="0.25">
      <c r="A61" s="89" t="s">
        <v>9</v>
      </c>
      <c r="B61" s="89"/>
      <c r="C61" s="178">
        <v>9632944256.333025</v>
      </c>
      <c r="D61" s="187"/>
      <c r="E61" s="179">
        <v>9632944256.333025</v>
      </c>
      <c r="F61" s="180">
        <f>E61/$E$67</f>
        <v>0.51195172050871518</v>
      </c>
      <c r="G61" s="89"/>
      <c r="I61" s="90"/>
      <c r="J61" s="90"/>
      <c r="K61" s="90"/>
      <c r="L61" s="90"/>
      <c r="M61" s="90"/>
      <c r="N61" s="90"/>
      <c r="O61" s="90"/>
      <c r="P61" s="90"/>
    </row>
    <row r="62" spans="1:16" ht="15.75" x14ac:dyDescent="0.25">
      <c r="A62" s="89"/>
      <c r="B62" s="89"/>
      <c r="C62" s="178"/>
      <c r="D62" s="187"/>
      <c r="E62" s="179"/>
      <c r="F62" s="180"/>
      <c r="G62" s="89"/>
      <c r="I62" s="90"/>
      <c r="J62" s="90"/>
      <c r="K62" s="90"/>
      <c r="L62" s="90"/>
      <c r="M62" s="90"/>
      <c r="N62" s="90"/>
      <c r="O62" s="90"/>
      <c r="P62" s="90"/>
    </row>
    <row r="63" spans="1:16" ht="15.75" x14ac:dyDescent="0.25">
      <c r="A63" s="89" t="s">
        <v>8</v>
      </c>
      <c r="B63" s="89"/>
      <c r="C63" s="178">
        <v>329838223.38509023</v>
      </c>
      <c r="D63" s="187"/>
      <c r="E63" s="179">
        <v>329838223.38509023</v>
      </c>
      <c r="F63" s="180">
        <f>E63/$E$67</f>
        <v>1.7529557055260624E-2</v>
      </c>
      <c r="G63" s="89"/>
      <c r="I63" s="90"/>
      <c r="J63" s="90"/>
      <c r="K63" s="90"/>
      <c r="L63" s="90"/>
      <c r="M63" s="90"/>
      <c r="N63" s="90"/>
      <c r="O63" s="90"/>
      <c r="P63" s="90"/>
    </row>
    <row r="64" spans="1:16" ht="15.75" x14ac:dyDescent="0.25">
      <c r="A64" s="89"/>
      <c r="B64" s="89"/>
      <c r="C64" s="178"/>
      <c r="D64" s="187"/>
      <c r="E64" s="179"/>
      <c r="F64" s="180"/>
      <c r="G64" s="89"/>
      <c r="I64" s="90"/>
      <c r="J64" s="90"/>
      <c r="K64" s="90"/>
      <c r="L64" s="90"/>
      <c r="M64" s="90"/>
      <c r="N64" s="90"/>
      <c r="O64" s="90"/>
      <c r="P64" s="90"/>
    </row>
    <row r="65" spans="1:16" ht="15.75" x14ac:dyDescent="0.25">
      <c r="A65" s="89" t="s">
        <v>0</v>
      </c>
      <c r="B65" s="89"/>
      <c r="C65" s="154">
        <v>85800427</v>
      </c>
      <c r="D65" s="187"/>
      <c r="E65" s="154">
        <v>0</v>
      </c>
      <c r="F65" s="188">
        <f>E65/$E$67</f>
        <v>0</v>
      </c>
      <c r="G65" s="89"/>
      <c r="I65" s="90"/>
      <c r="J65" s="90"/>
      <c r="K65" s="90"/>
      <c r="L65" s="90"/>
      <c r="M65" s="90"/>
      <c r="N65" s="90"/>
      <c r="O65" s="90"/>
      <c r="P65" s="90"/>
    </row>
    <row r="66" spans="1:16" ht="15.75" x14ac:dyDescent="0.25">
      <c r="A66" s="89"/>
      <c r="B66" s="89"/>
      <c r="C66" s="89"/>
      <c r="D66" s="89"/>
      <c r="E66" s="89"/>
      <c r="F66" s="102"/>
      <c r="G66" s="89"/>
      <c r="I66" s="90"/>
      <c r="J66" s="90"/>
      <c r="K66" s="90"/>
      <c r="L66" s="90"/>
      <c r="M66" s="90"/>
      <c r="N66" s="90"/>
      <c r="O66" s="90"/>
      <c r="P66" s="90"/>
    </row>
    <row r="67" spans="1:16" ht="15.75" x14ac:dyDescent="0.25">
      <c r="A67" s="89" t="s">
        <v>34</v>
      </c>
      <c r="B67" s="89"/>
      <c r="C67" s="100">
        <f>SUM(C57:C65)</f>
        <v>18901918960.132343</v>
      </c>
      <c r="D67" s="103" t="s">
        <v>33</v>
      </c>
      <c r="E67" s="100">
        <f>SUM(E57:E65)</f>
        <v>18816118533.132343</v>
      </c>
      <c r="F67" s="102">
        <f>SUM(F57:F65)</f>
        <v>0.99999999999999989</v>
      </c>
      <c r="G67" s="89"/>
      <c r="I67" s="90"/>
      <c r="J67" s="90"/>
      <c r="K67" s="90"/>
      <c r="L67" s="90"/>
      <c r="M67" s="90"/>
      <c r="N67" s="90"/>
      <c r="O67" s="90"/>
      <c r="P67" s="90"/>
    </row>
    <row r="68" spans="1:16" ht="15.75" x14ac:dyDescent="0.25">
      <c r="A68" s="89"/>
      <c r="B68" s="89"/>
      <c r="C68" s="89"/>
      <c r="D68" s="89"/>
      <c r="G68" s="89"/>
      <c r="I68" s="90"/>
      <c r="J68" s="90"/>
      <c r="K68" s="90"/>
      <c r="L68" s="90"/>
      <c r="M68" s="90"/>
      <c r="N68" s="90"/>
      <c r="O68" s="90"/>
      <c r="P68" s="90"/>
    </row>
    <row r="69" spans="1:16" ht="15.75" x14ac:dyDescent="0.25">
      <c r="A69" s="89"/>
      <c r="B69" s="89"/>
      <c r="C69" s="89"/>
      <c r="D69" s="89"/>
      <c r="E69" s="25"/>
      <c r="F69" s="165"/>
      <c r="G69" s="89"/>
      <c r="I69" s="90"/>
      <c r="J69" s="90"/>
      <c r="K69" s="90"/>
      <c r="L69" s="90"/>
      <c r="M69" s="90"/>
      <c r="N69" s="90"/>
      <c r="O69" s="90"/>
      <c r="P69" s="90"/>
    </row>
    <row r="70" spans="1:16" x14ac:dyDescent="0.25">
      <c r="A70" s="88" t="s">
        <v>32</v>
      </c>
      <c r="B70" s="89"/>
      <c r="C70" s="89"/>
      <c r="D70" s="89"/>
      <c r="E70" s="89"/>
      <c r="F70" s="89"/>
      <c r="G70" s="89"/>
    </row>
    <row r="71" spans="1:16" ht="39" x14ac:dyDescent="0.25">
      <c r="A71" s="89"/>
      <c r="B71" s="89"/>
      <c r="C71" s="99" t="s">
        <v>31</v>
      </c>
      <c r="D71" s="105"/>
      <c r="E71" s="99" t="s">
        <v>30</v>
      </c>
      <c r="F71" s="89"/>
      <c r="G71" s="89"/>
    </row>
    <row r="72" spans="1:16" x14ac:dyDescent="0.25">
      <c r="A72" s="89"/>
      <c r="B72" s="89"/>
      <c r="C72" s="89"/>
      <c r="D72" s="89"/>
      <c r="E72" s="89"/>
      <c r="F72" s="106"/>
      <c r="G72" s="89"/>
    </row>
    <row r="73" spans="1:16" x14ac:dyDescent="0.25">
      <c r="A73" s="89" t="s">
        <v>10</v>
      </c>
      <c r="B73" s="89"/>
      <c r="C73" s="117">
        <f>$C$52*F57</f>
        <v>4647813.7900489494</v>
      </c>
      <c r="D73" s="103"/>
      <c r="E73" s="108">
        <f>C73/E57</f>
        <v>6.9860545238666322E-4</v>
      </c>
      <c r="F73" s="109"/>
      <c r="G73" s="89"/>
    </row>
    <row r="74" spans="1:16" x14ac:dyDescent="0.25">
      <c r="A74" s="89"/>
      <c r="B74" s="89"/>
      <c r="C74" s="107"/>
      <c r="D74" s="103"/>
      <c r="E74" s="108"/>
      <c r="F74" s="89"/>
      <c r="G74" s="89"/>
    </row>
    <row r="75" spans="1:16" x14ac:dyDescent="0.25">
      <c r="A75" s="89" t="s">
        <v>2</v>
      </c>
      <c r="B75" s="89"/>
      <c r="C75" s="107">
        <f>$C$52*F59</f>
        <v>1537175.0486776528</v>
      </c>
      <c r="D75" s="103"/>
      <c r="E75" s="108">
        <f>C75/E59</f>
        <v>6.9860545238666332E-4</v>
      </c>
      <c r="F75" s="89"/>
      <c r="G75" s="89"/>
    </row>
    <row r="76" spans="1:16" x14ac:dyDescent="0.25">
      <c r="A76" s="89"/>
      <c r="B76" s="89"/>
      <c r="C76" s="107"/>
      <c r="D76" s="103"/>
      <c r="E76" s="108"/>
      <c r="F76" s="89"/>
      <c r="G76" s="89"/>
    </row>
    <row r="77" spans="1:16" x14ac:dyDescent="0.25">
      <c r="A77" s="89" t="s">
        <v>9</v>
      </c>
      <c r="B77" s="89"/>
      <c r="C77" s="117">
        <f>$C$52*F61</f>
        <v>6729627.3800110426</v>
      </c>
      <c r="D77" s="103"/>
      <c r="E77" s="108">
        <f>C77/E61</f>
        <v>6.9860545238666332E-4</v>
      </c>
      <c r="F77" s="89"/>
      <c r="G77" s="89"/>
    </row>
    <row r="78" spans="1:16" x14ac:dyDescent="0.25">
      <c r="A78" s="89"/>
      <c r="B78" s="89"/>
      <c r="C78" s="107"/>
      <c r="D78" s="103"/>
      <c r="E78" s="108"/>
      <c r="F78" s="89"/>
      <c r="G78" s="89"/>
    </row>
    <row r="79" spans="1:16" x14ac:dyDescent="0.25">
      <c r="A79" s="89" t="s">
        <v>8</v>
      </c>
      <c r="B79" s="89"/>
      <c r="C79" s="118">
        <f>$C$52*F63</f>
        <v>230426.78126235428</v>
      </c>
      <c r="D79" s="103"/>
      <c r="E79" s="112">
        <f>C79/E63</f>
        <v>6.9860545238666332E-4</v>
      </c>
      <c r="F79" s="89"/>
      <c r="G79" s="89"/>
    </row>
    <row r="80" spans="1:16" x14ac:dyDescent="0.25">
      <c r="A80" s="89"/>
      <c r="B80" s="89"/>
      <c r="C80" s="107"/>
      <c r="D80" s="103"/>
      <c r="E80" s="108"/>
      <c r="F80" s="89"/>
      <c r="G80" s="89"/>
    </row>
    <row r="81" spans="1:10" x14ac:dyDescent="0.25">
      <c r="A81" s="96" t="s">
        <v>29</v>
      </c>
      <c r="B81" s="89"/>
      <c r="C81" s="107">
        <f>SUM(C73:C79)</f>
        <v>13145043</v>
      </c>
      <c r="D81" s="103"/>
      <c r="E81" s="108">
        <f>C81/E67</f>
        <v>6.9860545238666332E-4</v>
      </c>
      <c r="F81" s="89"/>
      <c r="G81" s="89"/>
    </row>
    <row r="82" spans="1:10" x14ac:dyDescent="0.25">
      <c r="F82" s="89"/>
      <c r="G82" s="89"/>
    </row>
    <row r="83" spans="1:10" x14ac:dyDescent="0.25">
      <c r="A83" s="115"/>
      <c r="B83" s="115"/>
      <c r="C83" s="166"/>
      <c r="D83" s="89"/>
      <c r="E83" s="89"/>
      <c r="F83" s="89"/>
      <c r="G83" s="89"/>
    </row>
    <row r="84" spans="1:10" x14ac:dyDescent="0.25">
      <c r="D84" s="89"/>
      <c r="E84" s="89"/>
      <c r="F84" s="89"/>
      <c r="G84" s="89"/>
    </row>
    <row r="85" spans="1:10" ht="15.75" x14ac:dyDescent="0.25">
      <c r="A85" s="240" t="s">
        <v>28</v>
      </c>
      <c r="B85" s="240"/>
      <c r="C85" s="240"/>
      <c r="D85" s="240"/>
      <c r="E85" s="240"/>
      <c r="F85" s="240"/>
      <c r="G85" s="240"/>
    </row>
    <row r="86" spans="1:10" x14ac:dyDescent="0.25">
      <c r="A86" s="89"/>
      <c r="B86" s="89"/>
      <c r="C86" s="89"/>
      <c r="D86" s="89"/>
      <c r="E86" s="89"/>
      <c r="F86" s="89"/>
      <c r="G86" s="89"/>
    </row>
    <row r="87" spans="1:10" ht="15.75" customHeight="1" x14ac:dyDescent="0.25">
      <c r="A87" s="88" t="s">
        <v>27</v>
      </c>
      <c r="B87" s="89"/>
      <c r="C87" s="89"/>
      <c r="D87" s="89"/>
      <c r="E87" s="89"/>
      <c r="F87" s="89"/>
      <c r="G87" s="89"/>
    </row>
    <row r="88" spans="1:10" ht="56.25" customHeight="1" x14ac:dyDescent="0.25">
      <c r="A88" s="96"/>
      <c r="B88" s="89"/>
      <c r="C88" s="99" t="str">
        <f>$C$18</f>
        <v>2019 GRC P2 Sales TY 2020
(kWh)</v>
      </c>
      <c r="D88" s="89"/>
      <c r="E88" s="99" t="s">
        <v>289</v>
      </c>
      <c r="F88" s="99" t="s">
        <v>26</v>
      </c>
      <c r="G88" s="99" t="s">
        <v>25</v>
      </c>
    </row>
    <row r="89" spans="1:10" x14ac:dyDescent="0.25">
      <c r="A89" s="96"/>
      <c r="B89" s="89"/>
      <c r="C89" s="119"/>
      <c r="D89" s="89"/>
      <c r="E89" s="119"/>
      <c r="F89" s="119"/>
      <c r="G89" s="89"/>
    </row>
    <row r="90" spans="1:10" x14ac:dyDescent="0.25">
      <c r="A90" s="96" t="s">
        <v>10</v>
      </c>
      <c r="B90" s="89"/>
      <c r="C90" s="178">
        <v>6652988141.1181479</v>
      </c>
      <c r="D90" s="187"/>
      <c r="E90" s="180">
        <v>0.35197421781092891</v>
      </c>
      <c r="F90" s="189">
        <f>E90*F$100</f>
        <v>5730140.2659619227</v>
      </c>
      <c r="G90" s="108">
        <f>F90/C90</f>
        <v>8.6128821281783842E-4</v>
      </c>
      <c r="H90" s="28"/>
      <c r="J90" s="120"/>
    </row>
    <row r="91" spans="1:10" x14ac:dyDescent="0.25">
      <c r="A91" s="96"/>
      <c r="B91" s="89"/>
      <c r="C91" s="178"/>
      <c r="D91" s="187"/>
      <c r="E91" s="180"/>
      <c r="F91" s="189"/>
      <c r="G91" s="108"/>
      <c r="H91" s="28"/>
    </row>
    <row r="92" spans="1:10" x14ac:dyDescent="0.25">
      <c r="A92" s="96" t="s">
        <v>2</v>
      </c>
      <c r="B92" s="89"/>
      <c r="C92" s="178">
        <v>2200347912.2960796</v>
      </c>
      <c r="D92" s="187"/>
      <c r="E92" s="180">
        <v>0.11640870521860885</v>
      </c>
      <c r="F92" s="189">
        <f>E92*F$100</f>
        <v>1895133.7209589521</v>
      </c>
      <c r="G92" s="108">
        <f>F92/C92</f>
        <v>8.6128821281783831E-4</v>
      </c>
      <c r="H92" s="28"/>
      <c r="J92" s="120"/>
    </row>
    <row r="93" spans="1:10" x14ac:dyDescent="0.25">
      <c r="A93" s="96"/>
      <c r="B93" s="89"/>
      <c r="C93" s="178"/>
      <c r="D93" s="187"/>
      <c r="E93" s="180"/>
      <c r="F93" s="189"/>
      <c r="G93" s="108"/>
      <c r="H93" s="28"/>
    </row>
    <row r="94" spans="1:10" x14ac:dyDescent="0.25">
      <c r="A94" s="96" t="s">
        <v>9</v>
      </c>
      <c r="B94" s="89"/>
      <c r="C94" s="178">
        <v>9632944256.333025</v>
      </c>
      <c r="D94" s="187"/>
      <c r="E94" s="180">
        <v>0.50962784660386562</v>
      </c>
      <c r="F94" s="189">
        <f>E94*F$100</f>
        <v>8296741.3427109327</v>
      </c>
      <c r="G94" s="108">
        <f>F94/C94</f>
        <v>8.6128821281783842E-4</v>
      </c>
      <c r="H94" s="28"/>
      <c r="J94" s="120"/>
    </row>
    <row r="95" spans="1:10" x14ac:dyDescent="0.25">
      <c r="A95" s="96"/>
      <c r="B95" s="89"/>
      <c r="C95" s="178"/>
      <c r="D95" s="187"/>
      <c r="E95" s="180"/>
      <c r="F95" s="189"/>
      <c r="G95" s="108"/>
      <c r="H95" s="28"/>
    </row>
    <row r="96" spans="1:10" x14ac:dyDescent="0.25">
      <c r="A96" s="96" t="s">
        <v>8</v>
      </c>
      <c r="B96" s="89"/>
      <c r="C96" s="178">
        <v>329838223.38509023</v>
      </c>
      <c r="D96" s="187"/>
      <c r="E96" s="180">
        <v>1.744998611414959E-2</v>
      </c>
      <c r="F96" s="189">
        <f>E96*F$100</f>
        <v>284085.77393835533</v>
      </c>
      <c r="G96" s="108">
        <f>F96/C96</f>
        <v>8.6128821281783842E-4</v>
      </c>
      <c r="H96" s="28"/>
      <c r="J96" s="120"/>
    </row>
    <row r="97" spans="1:16" x14ac:dyDescent="0.25">
      <c r="A97" s="96"/>
      <c r="B97" s="89"/>
      <c r="C97" s="178"/>
      <c r="D97" s="187"/>
      <c r="E97" s="180"/>
      <c r="F97" s="189"/>
      <c r="G97" s="108"/>
      <c r="H97" s="28"/>
    </row>
    <row r="98" spans="1:16" x14ac:dyDescent="0.25">
      <c r="A98" s="96" t="s">
        <v>0</v>
      </c>
      <c r="B98" s="89"/>
      <c r="C98" s="154">
        <v>85800427</v>
      </c>
      <c r="D98" s="187"/>
      <c r="E98" s="190">
        <v>4.5392442524470151E-3</v>
      </c>
      <c r="F98" s="191">
        <f>E98*F$100</f>
        <v>73898.896429837405</v>
      </c>
      <c r="G98" s="112">
        <f>F98/C98</f>
        <v>8.6128821281783831E-4</v>
      </c>
      <c r="H98" s="28"/>
      <c r="J98" s="120"/>
    </row>
    <row r="99" spans="1:16" x14ac:dyDescent="0.25">
      <c r="A99" s="96"/>
      <c r="B99" s="89"/>
      <c r="C99" s="182"/>
      <c r="D99" s="187"/>
      <c r="E99" s="192"/>
      <c r="F99" s="189"/>
      <c r="G99" s="108"/>
      <c r="H99" s="28"/>
    </row>
    <row r="100" spans="1:16" x14ac:dyDescent="0.25">
      <c r="A100" s="96" t="s">
        <v>7</v>
      </c>
      <c r="B100" s="89"/>
      <c r="C100" s="179">
        <f>SUM(C90:C98)</f>
        <v>18901918960.132343</v>
      </c>
      <c r="D100" s="187"/>
      <c r="E100" s="192">
        <f>SUM(E90:E98)</f>
        <v>1</v>
      </c>
      <c r="F100" s="177">
        <v>16280000</v>
      </c>
      <c r="G100" s="108">
        <f>F100/C100</f>
        <v>8.6128821281783842E-4</v>
      </c>
      <c r="I100" s="30"/>
      <c r="J100" s="30"/>
    </row>
    <row r="101" spans="1:16" x14ac:dyDescent="0.25">
      <c r="A101" s="96"/>
      <c r="B101" s="89"/>
      <c r="C101" s="101"/>
      <c r="D101" s="89"/>
      <c r="F101" s="114"/>
      <c r="G101" s="122"/>
    </row>
    <row r="102" spans="1:16" x14ac:dyDescent="0.25">
      <c r="A102" s="96"/>
      <c r="B102" s="89"/>
      <c r="C102" s="115"/>
      <c r="D102" s="89"/>
      <c r="E102" s="165"/>
      <c r="F102" s="104"/>
      <c r="G102" s="122"/>
    </row>
    <row r="103" spans="1:16" x14ac:dyDescent="0.25">
      <c r="A103" s="96"/>
      <c r="B103" s="89"/>
      <c r="C103" s="89"/>
      <c r="D103" s="89"/>
      <c r="E103" s="89"/>
      <c r="F103" s="89"/>
      <c r="G103" s="122"/>
    </row>
    <row r="104" spans="1:16" ht="15.75" customHeight="1" x14ac:dyDescent="0.25">
      <c r="A104" s="88" t="s">
        <v>24</v>
      </c>
      <c r="B104" s="89"/>
      <c r="C104" s="89"/>
      <c r="D104" s="89"/>
      <c r="E104" s="89"/>
      <c r="F104" s="89"/>
      <c r="G104" s="89"/>
    </row>
    <row r="105" spans="1:16" ht="51.75" x14ac:dyDescent="0.25">
      <c r="A105" s="96"/>
      <c r="B105" s="89"/>
      <c r="C105" s="99" t="str">
        <f>$C$18</f>
        <v>2019 GRC P2 Sales TY 2020
(kWh)</v>
      </c>
      <c r="D105" s="89"/>
      <c r="E105" s="99" t="s">
        <v>289</v>
      </c>
      <c r="F105" s="99" t="s">
        <v>23</v>
      </c>
      <c r="G105" s="99" t="s">
        <v>22</v>
      </c>
      <c r="H105" s="99" t="s">
        <v>21</v>
      </c>
      <c r="I105" s="123" t="s">
        <v>20</v>
      </c>
      <c r="J105" s="99" t="s">
        <v>16</v>
      </c>
      <c r="K105" s="123" t="s">
        <v>19</v>
      </c>
      <c r="L105" s="99" t="s">
        <v>18</v>
      </c>
      <c r="M105" s="116"/>
      <c r="N105" s="116"/>
      <c r="O105" s="124" t="s">
        <v>17</v>
      </c>
      <c r="P105" s="99" t="s">
        <v>15</v>
      </c>
    </row>
    <row r="106" spans="1:16" x14ac:dyDescent="0.25">
      <c r="A106" s="96"/>
      <c r="B106" s="89"/>
      <c r="C106" s="119"/>
      <c r="D106" s="89"/>
      <c r="E106" s="119"/>
      <c r="F106" s="119"/>
      <c r="G106" s="122"/>
      <c r="J106" s="125"/>
      <c r="L106" s="125"/>
    </row>
    <row r="107" spans="1:16" x14ac:dyDescent="0.25">
      <c r="A107" s="96" t="s">
        <v>10</v>
      </c>
      <c r="B107" s="89"/>
      <c r="C107" s="178">
        <v>6652988141.1181479</v>
      </c>
      <c r="D107" s="187"/>
      <c r="E107" s="180">
        <v>0.25849481349986364</v>
      </c>
      <c r="F107" s="114">
        <f>E107*F$117</f>
        <v>-3360432.5754982275</v>
      </c>
      <c r="G107" s="108">
        <f>F107/C107</f>
        <v>-5.0510124236196967E-4</v>
      </c>
      <c r="H107" s="108">
        <f>G90+G107</f>
        <v>3.5618697045586875E-4</v>
      </c>
      <c r="I107" s="193">
        <v>3.0599999999999998E-3</v>
      </c>
      <c r="J107" s="126">
        <f>H107-I107</f>
        <v>-2.7038130295441313E-3</v>
      </c>
      <c r="K107" s="31">
        <f>IF(J107&lt;0,0,J107*C107)</f>
        <v>0</v>
      </c>
      <c r="L107" s="127">
        <f>IF(K107=0,F107,0)</f>
        <v>-3360432.5754982275</v>
      </c>
      <c r="M107" s="32">
        <f>IF(K107=0,IFERROR((L107/L$117),0),0)</f>
        <v>0.25849481349986364</v>
      </c>
      <c r="N107" s="33">
        <f>IF(K107=0,(K$117*M107)/C107,0)</f>
        <v>0</v>
      </c>
      <c r="O107" s="120">
        <f>IF((H107+N107)&gt;I107,I107,(H107+N107))</f>
        <v>3.5618697045586875E-4</v>
      </c>
      <c r="P107" s="128">
        <f>N107*C107</f>
        <v>0</v>
      </c>
    </row>
    <row r="108" spans="1:16" x14ac:dyDescent="0.25">
      <c r="A108" s="96"/>
      <c r="B108" s="89"/>
      <c r="C108" s="178"/>
      <c r="D108" s="187"/>
      <c r="E108" s="180"/>
      <c r="F108" s="114"/>
      <c r="G108" s="108"/>
      <c r="H108" s="108"/>
      <c r="I108" s="194"/>
      <c r="J108" s="126"/>
      <c r="L108" s="127"/>
      <c r="M108" s="32"/>
      <c r="O108" s="120"/>
    </row>
    <row r="109" spans="1:16" x14ac:dyDescent="0.25">
      <c r="A109" s="96" t="s">
        <v>2</v>
      </c>
      <c r="B109" s="89"/>
      <c r="C109" s="178">
        <v>2200347912.2960796</v>
      </c>
      <c r="D109" s="187"/>
      <c r="E109" s="180">
        <v>0.15496379477528138</v>
      </c>
      <c r="F109" s="114">
        <f>E109*F$117</f>
        <v>-2014529.332078658</v>
      </c>
      <c r="G109" s="108">
        <f>F109/C109</f>
        <v>-9.1555036402242473E-4</v>
      </c>
      <c r="H109" s="108">
        <f>G92+G109</f>
        <v>-5.4262151204586412E-5</v>
      </c>
      <c r="I109" s="195">
        <v>3.2200000000000002E-3</v>
      </c>
      <c r="J109" s="126">
        <f>H109-I109</f>
        <v>-3.2742621512045866E-3</v>
      </c>
      <c r="K109" s="31">
        <f>IF(J109&lt;0,0,J109*C109)</f>
        <v>0</v>
      </c>
      <c r="L109" s="127">
        <f>IF(K109=0,F109,0)</f>
        <v>-2014529.332078658</v>
      </c>
      <c r="M109" s="32">
        <f>IF(K109=0,IFERROR((L109/L$117),0),0)</f>
        <v>0.15496379477528138</v>
      </c>
      <c r="N109" s="33">
        <f>IF(K109=0,(K$117*M109)/C109,0)</f>
        <v>0</v>
      </c>
      <c r="O109" s="120">
        <f>IF((H109+N109)&gt;I109,I109,(H109+N109))</f>
        <v>-5.4262151204586412E-5</v>
      </c>
      <c r="P109" s="128">
        <f>N109*C109</f>
        <v>0</v>
      </c>
    </row>
    <row r="110" spans="1:16" x14ac:dyDescent="0.25">
      <c r="A110" s="96"/>
      <c r="B110" s="89"/>
      <c r="C110" s="178"/>
      <c r="D110" s="187"/>
      <c r="E110" s="180"/>
      <c r="F110" s="114"/>
      <c r="G110" s="108"/>
      <c r="H110" s="108"/>
      <c r="I110" s="194"/>
      <c r="J110" s="126"/>
      <c r="L110" s="127"/>
      <c r="M110" s="32"/>
      <c r="O110" s="120"/>
    </row>
    <row r="111" spans="1:16" x14ac:dyDescent="0.25">
      <c r="A111" s="96" t="s">
        <v>9</v>
      </c>
      <c r="B111" s="89"/>
      <c r="C111" s="178">
        <v>9632944256.333025</v>
      </c>
      <c r="D111" s="187"/>
      <c r="E111" s="180">
        <v>0.5682569223057039</v>
      </c>
      <c r="F111" s="114">
        <f>E111*F$117</f>
        <v>-7387339.9899741504</v>
      </c>
      <c r="G111" s="108">
        <f>F111/C111</f>
        <v>-7.6688287541137401E-4</v>
      </c>
      <c r="H111" s="108">
        <f>G94+G111</f>
        <v>9.440533740646441E-5</v>
      </c>
      <c r="I111" s="195">
        <v>2.5600000000000002E-3</v>
      </c>
      <c r="J111" s="126">
        <f>H111-I111</f>
        <v>-2.4655946625935358E-3</v>
      </c>
      <c r="K111" s="31">
        <f>IF(J111&lt;0,0,J111*C111)</f>
        <v>0</v>
      </c>
      <c r="L111" s="127">
        <f>IF(K111=0,F111,0)</f>
        <v>-7387339.9899741504</v>
      </c>
      <c r="M111" s="32">
        <f>IF(K111=0,IFERROR((L111/L$117),0),0)</f>
        <v>0.5682569223057039</v>
      </c>
      <c r="N111" s="33">
        <f>IF(K111=0,(K$117*M111)/C111,0)</f>
        <v>0</v>
      </c>
      <c r="O111" s="120">
        <f>IF((H111+N111)&gt;I111,I111,(H111+N111))</f>
        <v>9.440533740646441E-5</v>
      </c>
      <c r="P111" s="128">
        <f>N111*C111</f>
        <v>0</v>
      </c>
    </row>
    <row r="112" spans="1:16" x14ac:dyDescent="0.25">
      <c r="A112" s="96"/>
      <c r="B112" s="89"/>
      <c r="C112" s="178"/>
      <c r="D112" s="187"/>
      <c r="E112" s="180"/>
      <c r="F112" s="114"/>
      <c r="G112" s="108"/>
      <c r="H112" s="108"/>
      <c r="I112" s="194"/>
      <c r="J112" s="126"/>
      <c r="L112" s="127"/>
      <c r="M112" s="32"/>
      <c r="N112" s="33"/>
      <c r="O112" s="120"/>
    </row>
    <row r="113" spans="1:16" x14ac:dyDescent="0.25">
      <c r="A113" s="96" t="s">
        <v>8</v>
      </c>
      <c r="B113" s="89"/>
      <c r="C113" s="178">
        <v>329838223.38509023</v>
      </c>
      <c r="D113" s="187"/>
      <c r="E113" s="180">
        <v>1.8267010752827908E-2</v>
      </c>
      <c r="F113" s="114">
        <f>E113*F$117</f>
        <v>-237471.1397867628</v>
      </c>
      <c r="G113" s="108">
        <f>F113/C113</f>
        <v>-7.1996246326342923E-4</v>
      </c>
      <c r="H113" s="108">
        <f>G96+G113</f>
        <v>1.4132574955440919E-4</v>
      </c>
      <c r="I113" s="195">
        <v>3.4099999999999998E-3</v>
      </c>
      <c r="J113" s="126">
        <f>H113-I113</f>
        <v>-3.2686742504455905E-3</v>
      </c>
      <c r="K113" s="31">
        <f>IF(J113&lt;0,0,J113*C113)</f>
        <v>0</v>
      </c>
      <c r="L113" s="127">
        <f>IF(K113=0,F113,0)</f>
        <v>-237471.1397867628</v>
      </c>
      <c r="M113" s="32">
        <f>IF(K113=0,IFERROR((L113/L$117),0),0)</f>
        <v>1.8267010752827908E-2</v>
      </c>
      <c r="N113" s="33">
        <f>IF(K113=0,(K$117*M113)/C113,0)</f>
        <v>0</v>
      </c>
      <c r="O113" s="120">
        <f>IF((H113+N113)&gt;I113,I113,(H113+N113))</f>
        <v>1.4132574955440919E-4</v>
      </c>
      <c r="P113" s="128">
        <f>N113*C113</f>
        <v>0</v>
      </c>
    </row>
    <row r="114" spans="1:16" x14ac:dyDescent="0.25">
      <c r="A114" s="96"/>
      <c r="B114" s="89"/>
      <c r="C114" s="178"/>
      <c r="D114" s="187"/>
      <c r="E114" s="180"/>
      <c r="F114" s="114"/>
      <c r="G114" s="108"/>
      <c r="H114" s="108"/>
      <c r="I114" s="194"/>
      <c r="J114" s="126"/>
      <c r="L114" s="127"/>
      <c r="M114" s="32"/>
      <c r="N114" s="33"/>
      <c r="O114" s="120"/>
    </row>
    <row r="115" spans="1:16" x14ac:dyDescent="0.25">
      <c r="A115" s="96" t="s">
        <v>0</v>
      </c>
      <c r="B115" s="89"/>
      <c r="C115" s="154">
        <v>85800427</v>
      </c>
      <c r="D115" s="187"/>
      <c r="E115" s="190">
        <v>1.745866632312787E-5</v>
      </c>
      <c r="F115" s="121">
        <f>E115*F$117</f>
        <v>-226.96266220066232</v>
      </c>
      <c r="G115" s="112">
        <f>F115/C115</f>
        <v>-2.6452393086652393E-6</v>
      </c>
      <c r="H115" s="112">
        <f>G98+G115</f>
        <v>8.5864297350917308E-4</v>
      </c>
      <c r="I115" s="196">
        <v>3.79E-3</v>
      </c>
      <c r="J115" s="129">
        <f>H115-I115</f>
        <v>-2.9313570264908268E-3</v>
      </c>
      <c r="K115" s="34">
        <f>IF(J115&lt;0,0,J115*C115)</f>
        <v>0</v>
      </c>
      <c r="L115" s="121">
        <f>IF(K115=0,F115,0)</f>
        <v>-226.96266220066232</v>
      </c>
      <c r="M115" s="35">
        <f>IF(K115=0,IFERROR((L115/L$117),0),0)</f>
        <v>1.745866632312787E-5</v>
      </c>
      <c r="N115" s="36">
        <f>IF(K115=0,(K$117*M115)/C115,0)</f>
        <v>0</v>
      </c>
      <c r="O115" s="130">
        <f>IF((H115+N115)&gt;I115,I115,(H115+N115))</f>
        <v>8.5864297350917308E-4</v>
      </c>
      <c r="P115" s="131">
        <f>N115*C115</f>
        <v>0</v>
      </c>
    </row>
    <row r="116" spans="1:16" x14ac:dyDescent="0.25">
      <c r="A116" s="96"/>
      <c r="B116" s="89"/>
      <c r="C116" s="101"/>
      <c r="D116" s="89"/>
      <c r="E116" s="29"/>
      <c r="F116" s="114"/>
      <c r="G116" s="108"/>
      <c r="H116" s="108"/>
      <c r="I116" s="194"/>
      <c r="J116" s="126"/>
      <c r="L116" s="127"/>
      <c r="M116" s="32"/>
      <c r="O116" s="120"/>
    </row>
    <row r="117" spans="1:16" x14ac:dyDescent="0.25">
      <c r="A117" s="96" t="s">
        <v>7</v>
      </c>
      <c r="B117" s="89"/>
      <c r="C117" s="100">
        <f>SUM(C107:C115)</f>
        <v>18901918960.132343</v>
      </c>
      <c r="D117" s="89"/>
      <c r="E117" s="29">
        <f>SUM(E107:E115)</f>
        <v>0.99999999999999989</v>
      </c>
      <c r="F117" s="177">
        <v>-13000000</v>
      </c>
      <c r="G117" s="108">
        <f>F117/C117</f>
        <v>-6.8776085790122233E-4</v>
      </c>
      <c r="H117" s="108">
        <f>G100+G117</f>
        <v>1.735273549166161E-4</v>
      </c>
      <c r="I117" s="196">
        <v>2.8300000000000001E-3</v>
      </c>
      <c r="J117" s="126">
        <f>H117-I117</f>
        <v>-2.6564726450833838E-3</v>
      </c>
      <c r="K117" s="31">
        <f>SUM(K107:K115)</f>
        <v>0</v>
      </c>
      <c r="L117" s="37">
        <f>SUM(L107:L115)</f>
        <v>-13000000</v>
      </c>
      <c r="M117" s="32">
        <f>IF(K117=0,IFERROR((L117/L$117),0),0)</f>
        <v>1</v>
      </c>
      <c r="N117" s="33">
        <f>(K$117*M117)/C117</f>
        <v>0</v>
      </c>
      <c r="O117" s="120">
        <f>IF((H117+N117)&gt;I117,I117,(H117+N117))</f>
        <v>1.735273549166161E-4</v>
      </c>
      <c r="P117" s="128">
        <f>SUM(P107:P115)</f>
        <v>0</v>
      </c>
    </row>
    <row r="118" spans="1:16" x14ac:dyDescent="0.25">
      <c r="A118" s="96"/>
      <c r="B118" s="89"/>
      <c r="C118" s="89"/>
      <c r="D118" s="89"/>
      <c r="E118" s="89"/>
      <c r="F118" s="114"/>
      <c r="G118" s="122"/>
    </row>
    <row r="119" spans="1:16" x14ac:dyDescent="0.25">
      <c r="A119" s="96"/>
      <c r="B119" s="89"/>
      <c r="C119" s="115"/>
      <c r="D119" s="89"/>
      <c r="E119" s="165"/>
      <c r="F119" s="104"/>
      <c r="G119" s="122"/>
    </row>
    <row r="120" spans="1:16" x14ac:dyDescent="0.25">
      <c r="A120" s="96"/>
      <c r="B120" s="89"/>
      <c r="C120" s="89"/>
      <c r="D120" s="89"/>
      <c r="E120" s="115"/>
      <c r="F120" s="132"/>
      <c r="G120" s="122"/>
    </row>
    <row r="121" spans="1:16" x14ac:dyDescent="0.25">
      <c r="A121" s="96"/>
      <c r="B121" s="89"/>
      <c r="C121" s="89"/>
      <c r="D121" s="89"/>
      <c r="E121" s="89"/>
      <c r="F121" s="89"/>
      <c r="G121" s="122"/>
    </row>
    <row r="122" spans="1:16" ht="15.75" customHeight="1" x14ac:dyDescent="0.25">
      <c r="A122" s="88" t="s">
        <v>14</v>
      </c>
      <c r="B122" s="89"/>
      <c r="C122" s="89"/>
      <c r="D122" s="89"/>
      <c r="E122" s="89"/>
      <c r="F122" s="89"/>
      <c r="G122" s="89"/>
    </row>
    <row r="123" spans="1:16" ht="51.75" x14ac:dyDescent="0.25">
      <c r="A123" s="96"/>
      <c r="B123" s="89"/>
      <c r="C123" s="99" t="str">
        <f>$C$18</f>
        <v>2019 GRC P2 Sales TY 2020
(kWh)</v>
      </c>
      <c r="D123" s="89"/>
      <c r="E123" s="99" t="s">
        <v>289</v>
      </c>
      <c r="F123" s="99" t="s">
        <v>13</v>
      </c>
      <c r="G123" s="99" t="s">
        <v>12</v>
      </c>
      <c r="H123" s="99" t="s">
        <v>11</v>
      </c>
    </row>
    <row r="124" spans="1:16" x14ac:dyDescent="0.25">
      <c r="A124" s="96"/>
      <c r="B124" s="89"/>
      <c r="C124" s="119"/>
      <c r="D124" s="89"/>
      <c r="E124" s="119"/>
      <c r="F124" s="119"/>
      <c r="G124" s="122"/>
    </row>
    <row r="125" spans="1:16" x14ac:dyDescent="0.25">
      <c r="A125" s="96"/>
      <c r="B125" s="89"/>
      <c r="C125" s="89"/>
      <c r="D125" s="89"/>
      <c r="E125" s="119"/>
      <c r="F125" s="119"/>
      <c r="G125" s="122"/>
    </row>
    <row r="126" spans="1:16" x14ac:dyDescent="0.25">
      <c r="A126" s="96" t="s">
        <v>10</v>
      </c>
      <c r="B126" s="89"/>
      <c r="C126" s="178">
        <v>6652988141.1181479</v>
      </c>
      <c r="D126" s="187"/>
      <c r="E126" s="180">
        <v>0.25849481349986364</v>
      </c>
      <c r="F126" s="189">
        <f>E126*F$136</f>
        <v>21813773.984358784</v>
      </c>
      <c r="G126" s="108">
        <f>F126/C126</f>
        <v>3.2787934566636109E-3</v>
      </c>
      <c r="H126" s="108">
        <f>G126</f>
        <v>3.2787934566636109E-3</v>
      </c>
    </row>
    <row r="127" spans="1:16" x14ac:dyDescent="0.25">
      <c r="A127" s="96"/>
      <c r="B127" s="89"/>
      <c r="C127" s="178"/>
      <c r="D127" s="187"/>
      <c r="E127" s="180"/>
      <c r="F127" s="189"/>
      <c r="G127" s="108"/>
      <c r="H127" s="108"/>
    </row>
    <row r="128" spans="1:16" x14ac:dyDescent="0.25">
      <c r="A128" s="96" t="s">
        <v>2</v>
      </c>
      <c r="B128" s="89"/>
      <c r="C128" s="178">
        <v>2200347912.2960796</v>
      </c>
      <c r="D128" s="187"/>
      <c r="E128" s="180">
        <v>0.15496379477528138</v>
      </c>
      <c r="F128" s="189">
        <f>E128*F$136</f>
        <v>13077032.955588991</v>
      </c>
      <c r="G128" s="108">
        <f>F128/C128</f>
        <v>5.9431660250232922E-3</v>
      </c>
      <c r="H128" s="108">
        <f>G128</f>
        <v>5.9431660250232922E-3</v>
      </c>
    </row>
    <row r="129" spans="1:8" x14ac:dyDescent="0.25">
      <c r="A129" s="96"/>
      <c r="B129" s="89"/>
      <c r="C129" s="178"/>
      <c r="D129" s="187"/>
      <c r="E129" s="180"/>
      <c r="F129" s="189"/>
      <c r="G129" s="108"/>
      <c r="H129" s="108"/>
    </row>
    <row r="130" spans="1:8" x14ac:dyDescent="0.25">
      <c r="A130" s="96" t="s">
        <v>9</v>
      </c>
      <c r="B130" s="89"/>
      <c r="C130" s="178">
        <v>9632944256.333025</v>
      </c>
      <c r="D130" s="187"/>
      <c r="E130" s="180">
        <v>0.5682569223057039</v>
      </c>
      <c r="F130" s="189">
        <f>E130*F$136</f>
        <v>47953875.361721694</v>
      </c>
      <c r="G130" s="108">
        <f>F130/C130</f>
        <v>4.9781119962565117E-3</v>
      </c>
      <c r="H130" s="108">
        <f>G130</f>
        <v>4.9781119962565117E-3</v>
      </c>
    </row>
    <row r="131" spans="1:8" x14ac:dyDescent="0.25">
      <c r="A131" s="96"/>
      <c r="B131" s="89"/>
      <c r="C131" s="178"/>
      <c r="D131" s="187"/>
      <c r="E131" s="180"/>
      <c r="F131" s="189"/>
      <c r="G131" s="108"/>
      <c r="H131" s="108"/>
    </row>
    <row r="132" spans="1:8" x14ac:dyDescent="0.25">
      <c r="A132" s="96" t="s">
        <v>8</v>
      </c>
      <c r="B132" s="89"/>
      <c r="C132" s="178">
        <v>329838223.38509023</v>
      </c>
      <c r="D132" s="187"/>
      <c r="E132" s="180">
        <v>1.8267010752827908E-2</v>
      </c>
      <c r="F132" s="189">
        <f>E132*F$136</f>
        <v>1541510.4022280499</v>
      </c>
      <c r="G132" s="108">
        <f>F132/C132</f>
        <v>4.6735347601855022E-3</v>
      </c>
      <c r="H132" s="108">
        <f>G132</f>
        <v>4.6735347601855022E-3</v>
      </c>
    </row>
    <row r="133" spans="1:8" x14ac:dyDescent="0.25">
      <c r="A133" s="96"/>
      <c r="B133" s="89"/>
      <c r="C133" s="178"/>
      <c r="D133" s="187"/>
      <c r="E133" s="180"/>
      <c r="F133" s="189"/>
      <c r="G133" s="108"/>
      <c r="H133" s="108"/>
    </row>
    <row r="134" spans="1:8" x14ac:dyDescent="0.25">
      <c r="A134" s="96" t="s">
        <v>0</v>
      </c>
      <c r="B134" s="89"/>
      <c r="C134" s="154">
        <v>85800427</v>
      </c>
      <c r="D134" s="187"/>
      <c r="E134" s="190">
        <v>1.745866632312787E-5</v>
      </c>
      <c r="F134" s="191">
        <f>E134*F$136</f>
        <v>1473.2961024815627</v>
      </c>
      <c r="G134" s="112">
        <f>F134/C134</f>
        <v>1.717119778997793E-5</v>
      </c>
      <c r="H134" s="112">
        <f>G134</f>
        <v>1.717119778997793E-5</v>
      </c>
    </row>
    <row r="135" spans="1:8" x14ac:dyDescent="0.25">
      <c r="A135" s="96"/>
      <c r="B135" s="89"/>
      <c r="C135" s="182"/>
      <c r="D135" s="187"/>
      <c r="E135" s="192"/>
      <c r="F135" s="189"/>
      <c r="G135" s="108"/>
      <c r="H135" s="108"/>
    </row>
    <row r="136" spans="1:8" x14ac:dyDescent="0.25">
      <c r="A136" s="96" t="s">
        <v>7</v>
      </c>
      <c r="B136" s="89"/>
      <c r="C136" s="179">
        <f>SUM(C126:C134)</f>
        <v>18901918960.132343</v>
      </c>
      <c r="D136" s="187"/>
      <c r="E136" s="192">
        <f>SUM(E126:E134)</f>
        <v>0.99999999999999989</v>
      </c>
      <c r="F136" s="177">
        <v>84387666</v>
      </c>
      <c r="G136" s="108">
        <f>F136/C136</f>
        <v>4.4645025818801391E-3</v>
      </c>
      <c r="H136" s="108">
        <f>G136</f>
        <v>4.4645025818801391E-3</v>
      </c>
    </row>
    <row r="137" spans="1:8" x14ac:dyDescent="0.25">
      <c r="A137" s="96"/>
      <c r="B137" s="89"/>
      <c r="C137" s="89"/>
      <c r="D137" s="89"/>
      <c r="E137" s="89"/>
      <c r="F137" s="114"/>
      <c r="G137" s="89"/>
    </row>
    <row r="138" spans="1:8" x14ac:dyDescent="0.25">
      <c r="A138" s="96"/>
      <c r="B138" s="89"/>
      <c r="C138" s="115"/>
      <c r="D138" s="89"/>
      <c r="E138" s="167"/>
      <c r="F138" s="104"/>
      <c r="G138" s="89"/>
    </row>
    <row r="139" spans="1:8" x14ac:dyDescent="0.25">
      <c r="A139" s="96"/>
      <c r="B139" s="89"/>
      <c r="C139" s="89"/>
      <c r="D139" s="89"/>
      <c r="E139" s="89"/>
      <c r="F139" s="114"/>
      <c r="G139" s="89"/>
    </row>
    <row r="140" spans="1:8" x14ac:dyDescent="0.25">
      <c r="A140" s="96"/>
      <c r="B140" s="89"/>
      <c r="C140" s="89"/>
      <c r="D140" s="89"/>
      <c r="G140" s="89"/>
    </row>
    <row r="141" spans="1:8" x14ac:dyDescent="0.25">
      <c r="A141" s="96"/>
      <c r="B141" s="89"/>
      <c r="C141" s="89"/>
      <c r="D141" s="89"/>
      <c r="E141" s="89"/>
      <c r="F141" s="133"/>
      <c r="G141" s="89"/>
    </row>
    <row r="142" spans="1:8" x14ac:dyDescent="0.25">
      <c r="A142" s="96" t="s">
        <v>6</v>
      </c>
      <c r="B142" s="89" t="s">
        <v>5</v>
      </c>
      <c r="C142" s="89"/>
      <c r="D142" s="89"/>
      <c r="E142" s="89"/>
      <c r="F142" s="89"/>
      <c r="G142" s="89"/>
    </row>
    <row r="143" spans="1:8" x14ac:dyDescent="0.25">
      <c r="A143" s="96"/>
      <c r="B143" s="89" t="s">
        <v>4</v>
      </c>
      <c r="C143" s="89"/>
      <c r="D143" s="89"/>
      <c r="E143" s="89"/>
      <c r="F143" s="89"/>
      <c r="G143" s="89"/>
    </row>
    <row r="144" spans="1:8" x14ac:dyDescent="0.25">
      <c r="A144" s="134"/>
      <c r="B144" s="91"/>
      <c r="C144" s="89"/>
      <c r="D144" s="89"/>
      <c r="E144" s="89"/>
      <c r="F144" s="89"/>
      <c r="G144" s="89"/>
    </row>
    <row r="145" spans="1:9" ht="15.75" x14ac:dyDescent="0.25">
      <c r="A145" s="240" t="s">
        <v>175</v>
      </c>
      <c r="B145" s="240"/>
      <c r="C145" s="240"/>
      <c r="D145" s="240"/>
      <c r="E145" s="240"/>
      <c r="F145" s="240"/>
      <c r="G145" s="240"/>
    </row>
    <row r="146" spans="1:9" x14ac:dyDescent="0.25">
      <c r="A146" s="89"/>
      <c r="B146" s="89"/>
      <c r="C146" s="89"/>
      <c r="D146" s="89"/>
      <c r="E146" s="89"/>
      <c r="F146" s="89"/>
      <c r="G146" s="89"/>
    </row>
    <row r="147" spans="1:9" ht="15.75" customHeight="1" x14ac:dyDescent="0.25">
      <c r="A147" s="88" t="s">
        <v>176</v>
      </c>
      <c r="B147" s="89"/>
      <c r="C147" s="89"/>
      <c r="D147" s="89"/>
      <c r="E147" s="89"/>
      <c r="F147" s="89"/>
      <c r="G147" s="89"/>
    </row>
    <row r="149" spans="1:9" x14ac:dyDescent="0.25">
      <c r="A149" s="91" t="s">
        <v>52</v>
      </c>
      <c r="B149" s="89"/>
      <c r="C149" s="186">
        <v>2824892</v>
      </c>
      <c r="D149" s="197"/>
      <c r="E149" s="197"/>
      <c r="F149" s="197"/>
      <c r="G149" s="197"/>
    </row>
    <row r="150" spans="1:9" x14ac:dyDescent="0.25">
      <c r="A150" s="91" t="s">
        <v>177</v>
      </c>
      <c r="B150" s="89"/>
      <c r="C150" s="198">
        <f>SUM(C149:C149)</f>
        <v>2824892</v>
      </c>
      <c r="D150" s="197"/>
      <c r="E150" s="197"/>
      <c r="F150" s="197"/>
      <c r="G150" s="197"/>
    </row>
    <row r="151" spans="1:9" x14ac:dyDescent="0.25">
      <c r="C151" s="197"/>
      <c r="D151" s="197"/>
      <c r="E151" s="197"/>
      <c r="F151" s="197"/>
      <c r="G151" s="197"/>
    </row>
    <row r="152" spans="1:9" ht="39" x14ac:dyDescent="0.25">
      <c r="A152" s="96"/>
      <c r="B152" s="87"/>
      <c r="C152" s="99" t="str">
        <f>C123</f>
        <v>2019 GRC P2 Sales TY 2020
(kWh)</v>
      </c>
      <c r="D152" s="171"/>
      <c r="E152" s="99" t="s">
        <v>49</v>
      </c>
      <c r="F152" s="99" t="s">
        <v>48</v>
      </c>
      <c r="G152" s="99" t="s">
        <v>289</v>
      </c>
    </row>
    <row r="153" spans="1:9" ht="15.75" x14ac:dyDescent="0.25">
      <c r="A153" s="96"/>
      <c r="B153" s="87"/>
      <c r="C153" s="187"/>
      <c r="D153" s="171"/>
      <c r="E153" s="187"/>
      <c r="F153" s="187"/>
      <c r="G153" s="187"/>
    </row>
    <row r="154" spans="1:9" ht="15.75" x14ac:dyDescent="0.25">
      <c r="A154" s="96" t="s">
        <v>10</v>
      </c>
      <c r="B154" s="87"/>
      <c r="C154" s="178">
        <v>6652988141.1181479</v>
      </c>
      <c r="D154" s="171"/>
      <c r="E154" s="178">
        <v>1016702651.3608736</v>
      </c>
      <c r="F154" s="179">
        <f>C154-E154</f>
        <v>5636285489.7572746</v>
      </c>
      <c r="G154" s="180">
        <f>F154/$F$164</f>
        <v>0.31695711820870948</v>
      </c>
      <c r="I154" s="127"/>
    </row>
    <row r="155" spans="1:9" ht="15.75" x14ac:dyDescent="0.25">
      <c r="A155" s="96"/>
      <c r="B155" s="87"/>
      <c r="C155" s="178"/>
      <c r="D155" s="171"/>
      <c r="E155" s="181"/>
      <c r="F155" s="179"/>
      <c r="G155" s="180"/>
    </row>
    <row r="156" spans="1:9" ht="15.75" x14ac:dyDescent="0.25">
      <c r="A156" s="96" t="s">
        <v>2</v>
      </c>
      <c r="B156" s="87"/>
      <c r="C156" s="178">
        <v>2200347912.2960796</v>
      </c>
      <c r="D156" s="171"/>
      <c r="E156" s="178">
        <v>2271745.422114118</v>
      </c>
      <c r="F156" s="179">
        <f>C156-E156</f>
        <v>2198076166.8739657</v>
      </c>
      <c r="G156" s="180">
        <f t="shared" ref="G156:G160" si="0">F156/$F$164</f>
        <v>0.12360904867606727</v>
      </c>
    </row>
    <row r="157" spans="1:9" ht="15.75" x14ac:dyDescent="0.25">
      <c r="A157" s="96"/>
      <c r="B157" s="87"/>
      <c r="C157" s="178"/>
      <c r="D157" s="171"/>
      <c r="E157" s="178"/>
      <c r="F157" s="179"/>
      <c r="G157" s="180"/>
    </row>
    <row r="158" spans="1:9" ht="15.75" x14ac:dyDescent="0.25">
      <c r="A158" s="96" t="s">
        <v>9</v>
      </c>
      <c r="B158" s="87"/>
      <c r="C158" s="178">
        <v>9632944256.333025</v>
      </c>
      <c r="D158" s="171"/>
      <c r="E158" s="178">
        <v>14658222.763086554</v>
      </c>
      <c r="F158" s="179">
        <f>C158-E158</f>
        <v>9618286033.5699387</v>
      </c>
      <c r="G158" s="180">
        <f t="shared" si="0"/>
        <v>0.54088534529479504</v>
      </c>
    </row>
    <row r="159" spans="1:9" ht="15.75" x14ac:dyDescent="0.25">
      <c r="A159" s="96"/>
      <c r="B159" s="87"/>
      <c r="C159" s="178"/>
      <c r="D159" s="171"/>
      <c r="E159" s="179"/>
      <c r="F159" s="179"/>
      <c r="G159" s="180"/>
    </row>
    <row r="160" spans="1:9" ht="15.75" x14ac:dyDescent="0.25">
      <c r="A160" s="96" t="s">
        <v>8</v>
      </c>
      <c r="B160" s="87"/>
      <c r="C160" s="178">
        <v>329838223.38509023</v>
      </c>
      <c r="D160" s="171"/>
      <c r="E160" s="182"/>
      <c r="F160" s="179">
        <f>C160-E160</f>
        <v>329838223.38509023</v>
      </c>
      <c r="G160" s="180">
        <f t="shared" si="0"/>
        <v>1.8548487820428158E-2</v>
      </c>
    </row>
    <row r="161" spans="1:7" ht="15.75" x14ac:dyDescent="0.25">
      <c r="A161" s="89"/>
      <c r="B161" s="87"/>
      <c r="C161" s="178"/>
      <c r="D161" s="171"/>
      <c r="E161" s="182"/>
      <c r="F161" s="179"/>
      <c r="G161" s="180"/>
    </row>
    <row r="162" spans="1:7" ht="15.75" x14ac:dyDescent="0.25">
      <c r="A162" s="89" t="s">
        <v>0</v>
      </c>
      <c r="B162" s="87"/>
      <c r="C162" s="154">
        <v>85800427</v>
      </c>
      <c r="D162" s="171"/>
      <c r="E162" s="199"/>
      <c r="F162" s="199">
        <v>0</v>
      </c>
      <c r="G162" s="180">
        <f>F162/$F$164</f>
        <v>0</v>
      </c>
    </row>
    <row r="163" spans="1:7" ht="15.75" x14ac:dyDescent="0.25">
      <c r="A163" s="89"/>
      <c r="B163" s="87"/>
      <c r="C163" s="187"/>
      <c r="D163" s="171"/>
      <c r="E163" s="187"/>
      <c r="F163" s="187"/>
      <c r="G163" s="200"/>
    </row>
    <row r="164" spans="1:7" ht="15.75" x14ac:dyDescent="0.25">
      <c r="A164" s="89" t="s">
        <v>34</v>
      </c>
      <c r="B164" s="87"/>
      <c r="C164" s="100">
        <f>SUM(C154:C162)</f>
        <v>18901918960.132343</v>
      </c>
      <c r="D164" s="103" t="s">
        <v>33</v>
      </c>
      <c r="E164" s="100">
        <f>SUM(E154:E162)</f>
        <v>1033632619.5460743</v>
      </c>
      <c r="F164" s="100">
        <f>SUM(F154:F162)</f>
        <v>17782485913.586269</v>
      </c>
      <c r="G164" s="135">
        <f>SUM(G154:G162)</f>
        <v>0.99999999999999989</v>
      </c>
    </row>
    <row r="165" spans="1:7" ht="15.75" x14ac:dyDescent="0.25">
      <c r="A165" s="89"/>
      <c r="B165" s="87"/>
      <c r="C165" s="89"/>
      <c r="D165" s="87"/>
      <c r="E165" s="89"/>
      <c r="F165" s="26"/>
      <c r="G165" s="114"/>
    </row>
    <row r="166" spans="1:7" ht="15.75" x14ac:dyDescent="0.25">
      <c r="A166" s="89"/>
      <c r="B166" s="87"/>
      <c r="C166" s="89"/>
      <c r="D166" s="87"/>
      <c r="E166" s="89"/>
      <c r="F166" s="132"/>
      <c r="G166" s="168"/>
    </row>
    <row r="167" spans="1:7" ht="15.75" x14ac:dyDescent="0.25">
      <c r="A167" s="88" t="s">
        <v>178</v>
      </c>
      <c r="B167" s="87"/>
      <c r="C167" s="89"/>
      <c r="D167" s="87"/>
      <c r="E167" s="89"/>
      <c r="F167" s="89"/>
      <c r="G167" s="89"/>
    </row>
    <row r="168" spans="1:7" ht="39" x14ac:dyDescent="0.25">
      <c r="A168" s="89"/>
      <c r="B168" s="89"/>
      <c r="C168" s="99" t="s">
        <v>179</v>
      </c>
      <c r="D168" s="105"/>
      <c r="E168" s="99" t="s">
        <v>180</v>
      </c>
      <c r="F168" s="89"/>
      <c r="G168" s="89"/>
    </row>
    <row r="169" spans="1:7" x14ac:dyDescent="0.25">
      <c r="A169" s="89"/>
      <c r="B169" s="89"/>
      <c r="C169" s="103"/>
      <c r="D169" s="103"/>
      <c r="E169" s="103"/>
      <c r="F169" s="89"/>
      <c r="G169" s="106"/>
    </row>
    <row r="170" spans="1:7" x14ac:dyDescent="0.25">
      <c r="A170" s="89" t="s">
        <v>10</v>
      </c>
      <c r="B170" s="89"/>
      <c r="C170" s="117">
        <f>$C$150*G154</f>
        <v>895369.62757083774</v>
      </c>
      <c r="D170" s="103"/>
      <c r="E170" s="108">
        <f>C170/F154</f>
        <v>1.5885810418900492E-4</v>
      </c>
      <c r="F170" s="89"/>
      <c r="G170" s="109"/>
    </row>
    <row r="171" spans="1:7" x14ac:dyDescent="0.25">
      <c r="A171" s="89"/>
      <c r="B171" s="89"/>
      <c r="C171" s="107"/>
      <c r="D171" s="103"/>
      <c r="E171" s="108"/>
      <c r="F171" s="89"/>
      <c r="G171" s="89"/>
    </row>
    <row r="172" spans="1:7" x14ac:dyDescent="0.25">
      <c r="A172" s="89" t="s">
        <v>2</v>
      </c>
      <c r="B172" s="89"/>
      <c r="C172" s="107">
        <f>$C$150*G156</f>
        <v>349182.21273263305</v>
      </c>
      <c r="D172" s="103"/>
      <c r="E172" s="108">
        <f>C172/F156</f>
        <v>1.5885810418900495E-4</v>
      </c>
      <c r="F172" s="89"/>
      <c r="G172" s="89"/>
    </row>
    <row r="173" spans="1:7" x14ac:dyDescent="0.25">
      <c r="A173" s="89"/>
      <c r="B173" s="89"/>
      <c r="C173" s="107"/>
      <c r="D173" s="103"/>
      <c r="E173" s="108"/>
      <c r="F173" s="89"/>
      <c r="G173" s="89"/>
    </row>
    <row r="174" spans="1:7" x14ac:dyDescent="0.25">
      <c r="A174" s="89" t="s">
        <v>9</v>
      </c>
      <c r="B174" s="89"/>
      <c r="C174" s="107">
        <f>$C$150*G158</f>
        <v>1527942.6848405041</v>
      </c>
      <c r="D174" s="103"/>
      <c r="E174" s="108">
        <f>C174/F158</f>
        <v>1.5885810418900492E-4</v>
      </c>
      <c r="F174" s="89"/>
      <c r="G174" s="89"/>
    </row>
    <row r="175" spans="1:7" x14ac:dyDescent="0.25">
      <c r="A175" s="89"/>
      <c r="B175" s="89"/>
      <c r="C175" s="107"/>
      <c r="D175" s="103"/>
      <c r="E175" s="108"/>
      <c r="F175" s="89"/>
      <c r="G175" s="89"/>
    </row>
    <row r="176" spans="1:7" x14ac:dyDescent="0.25">
      <c r="A176" s="89" t="s">
        <v>8</v>
      </c>
      <c r="B176" s="89"/>
      <c r="C176" s="111">
        <f>$C$150*G160</f>
        <v>52397.474856024943</v>
      </c>
      <c r="D176" s="103"/>
      <c r="E176" s="112">
        <f>C176/F160</f>
        <v>1.5885810418900492E-4</v>
      </c>
      <c r="F176" s="89"/>
      <c r="G176" s="89"/>
    </row>
    <row r="177" spans="1:10" x14ac:dyDescent="0.25">
      <c r="A177" s="89"/>
      <c r="B177" s="89"/>
      <c r="C177" s="107"/>
      <c r="D177" s="103"/>
      <c r="E177" s="108"/>
      <c r="F177" s="89"/>
      <c r="G177" s="89"/>
    </row>
    <row r="178" spans="1:10" x14ac:dyDescent="0.25">
      <c r="A178" s="96" t="s">
        <v>29</v>
      </c>
      <c r="B178" s="89"/>
      <c r="C178" s="107">
        <f>SUM(C170:C177)</f>
        <v>2824892</v>
      </c>
      <c r="D178" s="103"/>
      <c r="E178" s="113">
        <f>C178/F164</f>
        <v>1.5885810418900492E-4</v>
      </c>
      <c r="F178" s="89"/>
      <c r="G178" s="89"/>
    </row>
    <row r="179" spans="1:10" ht="15.75" x14ac:dyDescent="0.25">
      <c r="A179" s="89"/>
      <c r="B179" s="87"/>
      <c r="C179" s="89"/>
      <c r="D179" s="87"/>
      <c r="E179" s="89"/>
      <c r="F179" s="26"/>
      <c r="G179" s="114"/>
    </row>
    <row r="180" spans="1:10" x14ac:dyDescent="0.25">
      <c r="A180" s="115"/>
      <c r="B180" s="115"/>
      <c r="C180" s="104"/>
      <c r="D180" s="89"/>
      <c r="E180" s="89"/>
      <c r="F180" s="89"/>
      <c r="G180" s="89"/>
    </row>
    <row r="181" spans="1:10" x14ac:dyDescent="0.25">
      <c r="A181" s="115"/>
      <c r="C181" s="132"/>
    </row>
    <row r="182" spans="1:10" x14ac:dyDescent="0.25">
      <c r="A182" s="136" t="s">
        <v>181</v>
      </c>
    </row>
    <row r="183" spans="1:10" x14ac:dyDescent="0.25">
      <c r="A183" s="136"/>
    </row>
    <row r="184" spans="1:10" x14ac:dyDescent="0.25">
      <c r="A184" s="136"/>
    </row>
    <row r="185" spans="1:10" s="42" customFormat="1" ht="15.75" x14ac:dyDescent="0.25">
      <c r="A185" s="233" t="s">
        <v>182</v>
      </c>
      <c r="B185" s="233"/>
      <c r="C185" s="233"/>
      <c r="D185" s="233"/>
      <c r="E185" s="233"/>
      <c r="F185" s="233"/>
      <c r="G185" s="233"/>
    </row>
    <row r="186" spans="1:10" ht="15.75" x14ac:dyDescent="0.25">
      <c r="A186" s="87"/>
      <c r="B186" s="87"/>
      <c r="C186" s="87"/>
      <c r="D186" s="87"/>
      <c r="E186" s="87"/>
      <c r="F186" s="87"/>
      <c r="G186" s="87"/>
      <c r="I186" s="90"/>
      <c r="J186" s="90"/>
    </row>
    <row r="187" spans="1:10" ht="15.75" x14ac:dyDescent="0.25">
      <c r="A187" s="88" t="s">
        <v>183</v>
      </c>
      <c r="B187" s="87"/>
      <c r="C187" s="89"/>
      <c r="D187" s="87"/>
      <c r="E187" s="89"/>
      <c r="F187" s="89"/>
      <c r="G187" s="89"/>
      <c r="H187" s="90"/>
      <c r="I187" s="90"/>
      <c r="J187" s="90"/>
    </row>
    <row r="188" spans="1:10" ht="15.75" x14ac:dyDescent="0.25">
      <c r="A188" s="89"/>
      <c r="B188" s="87"/>
      <c r="C188" s="89"/>
      <c r="D188" s="87"/>
      <c r="E188" s="89"/>
      <c r="F188" s="89"/>
      <c r="G188" s="89"/>
      <c r="H188" s="90"/>
      <c r="I188" s="90"/>
      <c r="J188" s="90"/>
    </row>
    <row r="189" spans="1:10" ht="15.75" x14ac:dyDescent="0.25">
      <c r="A189" s="91" t="s">
        <v>38</v>
      </c>
      <c r="B189" s="87"/>
      <c r="C189" s="175">
        <v>0</v>
      </c>
      <c r="D189" s="87"/>
      <c r="E189" s="91"/>
      <c r="F189" s="89"/>
      <c r="G189" s="92"/>
      <c r="H189" s="87"/>
      <c r="I189" s="90"/>
      <c r="J189" s="90"/>
    </row>
    <row r="190" spans="1:10" ht="15.75" x14ac:dyDescent="0.25">
      <c r="A190" s="94" t="s">
        <v>37</v>
      </c>
      <c r="B190" s="87"/>
      <c r="C190" s="176">
        <v>0</v>
      </c>
      <c r="D190" s="87"/>
      <c r="E190" s="91"/>
      <c r="F190" s="89"/>
      <c r="G190" s="95"/>
      <c r="H190" s="87"/>
      <c r="I190" s="90"/>
      <c r="J190" s="90"/>
    </row>
    <row r="191" spans="1:10" ht="15.75" x14ac:dyDescent="0.25">
      <c r="A191" s="96" t="s">
        <v>184</v>
      </c>
      <c r="B191" s="87"/>
      <c r="C191" s="97">
        <f>SUM(C189:C190)</f>
        <v>0</v>
      </c>
      <c r="D191" s="87"/>
      <c r="E191" s="89"/>
      <c r="F191" s="89"/>
      <c r="G191" s="89"/>
      <c r="H191" s="90"/>
      <c r="I191" s="90"/>
      <c r="J191" s="90"/>
    </row>
    <row r="192" spans="1:10" ht="15.75" x14ac:dyDescent="0.25">
      <c r="A192" s="96"/>
      <c r="B192" s="87"/>
      <c r="C192" s="89"/>
      <c r="D192" s="87"/>
      <c r="E192" s="89"/>
      <c r="F192" s="89"/>
      <c r="G192" s="89"/>
      <c r="H192" s="90"/>
      <c r="I192" s="90"/>
      <c r="J192" s="90"/>
    </row>
    <row r="193" spans="1:17" ht="15.75" x14ac:dyDescent="0.25">
      <c r="A193" s="91"/>
      <c r="B193" s="87"/>
      <c r="C193" s="98"/>
      <c r="D193" s="87"/>
      <c r="E193" s="89"/>
      <c r="F193" s="89"/>
      <c r="G193" s="89"/>
      <c r="H193" s="90"/>
      <c r="I193" s="90"/>
      <c r="J193" s="90"/>
    </row>
    <row r="194" spans="1:17" ht="15.75" x14ac:dyDescent="0.25">
      <c r="A194" s="88"/>
      <c r="B194" s="87"/>
      <c r="C194" s="89"/>
      <c r="D194" s="87"/>
      <c r="E194" s="89"/>
      <c r="F194" s="89"/>
      <c r="G194" s="89"/>
      <c r="H194" s="90"/>
      <c r="I194" s="90"/>
      <c r="J194" s="90"/>
    </row>
    <row r="195" spans="1:17" ht="15.75" x14ac:dyDescent="0.25">
      <c r="A195" s="88" t="s">
        <v>185</v>
      </c>
      <c r="B195" s="87"/>
      <c r="C195" s="89"/>
      <c r="D195" s="87"/>
      <c r="E195" s="89"/>
      <c r="F195" s="89"/>
      <c r="G195" s="89"/>
      <c r="H195" s="90"/>
      <c r="I195" s="90"/>
      <c r="J195" s="90"/>
    </row>
    <row r="196" spans="1:17" ht="39" x14ac:dyDescent="0.25">
      <c r="A196" s="96"/>
      <c r="B196" s="87"/>
      <c r="C196" s="99" t="str">
        <f>$C$18</f>
        <v>2019 GRC P2 Sales TY 2020
(kWh)</v>
      </c>
      <c r="D196" s="87"/>
      <c r="E196" s="99" t="s">
        <v>186</v>
      </c>
      <c r="F196" s="99" t="s">
        <v>187</v>
      </c>
      <c r="G196" s="99" t="s">
        <v>289</v>
      </c>
      <c r="H196" s="90"/>
      <c r="I196" s="99" t="s">
        <v>188</v>
      </c>
      <c r="J196" s="99" t="s">
        <v>189</v>
      </c>
      <c r="K196" s="99" t="s">
        <v>190</v>
      </c>
    </row>
    <row r="197" spans="1:17" ht="12" customHeight="1" x14ac:dyDescent="0.25">
      <c r="A197" s="96"/>
      <c r="B197" s="87"/>
      <c r="C197" s="89"/>
      <c r="D197" s="87"/>
      <c r="E197" s="89"/>
      <c r="F197" s="89"/>
      <c r="G197" s="89"/>
      <c r="H197" s="90"/>
      <c r="I197" s="90"/>
      <c r="J197" s="90"/>
    </row>
    <row r="198" spans="1:17" ht="12" customHeight="1" x14ac:dyDescent="0.25">
      <c r="A198" s="96" t="s">
        <v>10</v>
      </c>
      <c r="B198" s="87"/>
      <c r="C198" s="178">
        <v>6652988141.1181479</v>
      </c>
      <c r="D198" s="171"/>
      <c r="E198" s="178">
        <v>1057799023.5315566</v>
      </c>
      <c r="F198" s="179">
        <f>C198-E198</f>
        <v>5595189117.5865917</v>
      </c>
      <c r="G198" s="180">
        <v>0.41548062462667729</v>
      </c>
      <c r="H198" s="21"/>
      <c r="I198" s="137"/>
    </row>
    <row r="199" spans="1:17" ht="12" customHeight="1" x14ac:dyDescent="0.25">
      <c r="A199" s="96"/>
      <c r="B199" s="87"/>
      <c r="C199" s="178"/>
      <c r="D199" s="171"/>
      <c r="E199" s="181"/>
      <c r="F199" s="179"/>
      <c r="G199" s="180"/>
      <c r="H199" s="22"/>
      <c r="I199" s="23"/>
    </row>
    <row r="200" spans="1:17" ht="12" customHeight="1" x14ac:dyDescent="0.25">
      <c r="A200" s="96" t="s">
        <v>2</v>
      </c>
      <c r="B200" s="87"/>
      <c r="C200" s="178">
        <v>2200347912.2960796</v>
      </c>
      <c r="D200" s="171"/>
      <c r="E200" s="178">
        <v>2271745.422114118</v>
      </c>
      <c r="F200" s="179">
        <f>C200-E200</f>
        <v>2198076166.8739657</v>
      </c>
      <c r="G200" s="180">
        <v>0.11372317853934658</v>
      </c>
      <c r="H200" s="21"/>
      <c r="I200" s="38"/>
    </row>
    <row r="201" spans="1:17" ht="12" customHeight="1" x14ac:dyDescent="0.25">
      <c r="A201" s="96"/>
      <c r="B201" s="87"/>
      <c r="C201" s="178"/>
      <c r="D201" s="171"/>
      <c r="E201" s="178"/>
      <c r="F201" s="179"/>
      <c r="G201" s="180"/>
      <c r="H201" s="21"/>
      <c r="I201" s="22"/>
    </row>
    <row r="202" spans="1:17" ht="12" customHeight="1" x14ac:dyDescent="0.25">
      <c r="A202" s="96" t="s">
        <v>9</v>
      </c>
      <c r="B202" s="87"/>
      <c r="C202" s="178">
        <v>9632944256.333025</v>
      </c>
      <c r="D202" s="171"/>
      <c r="E202" s="178">
        <v>14658222.763086554</v>
      </c>
      <c r="F202" s="201" t="s">
        <v>191</v>
      </c>
      <c r="G202" s="180">
        <v>0.44959881335524515</v>
      </c>
      <c r="H202" s="21"/>
      <c r="I202" s="22">
        <v>25689573.606172942</v>
      </c>
      <c r="J202" s="127">
        <v>4857865.0255947243</v>
      </c>
      <c r="K202" s="127">
        <v>7558813231.9372101</v>
      </c>
      <c r="P202" s="31"/>
      <c r="Q202" s="127"/>
    </row>
    <row r="203" spans="1:17" ht="12" customHeight="1" x14ac:dyDescent="0.25">
      <c r="A203" s="96"/>
      <c r="B203" s="87"/>
      <c r="C203" s="178"/>
      <c r="D203" s="171"/>
      <c r="E203" s="179"/>
      <c r="F203" s="179"/>
      <c r="G203" s="180"/>
      <c r="H203" s="24"/>
      <c r="I203" s="23"/>
    </row>
    <row r="204" spans="1:17" ht="12" customHeight="1" x14ac:dyDescent="0.25">
      <c r="A204" s="96" t="s">
        <v>8</v>
      </c>
      <c r="B204" s="87"/>
      <c r="C204" s="178">
        <v>329838223.38509023</v>
      </c>
      <c r="D204" s="171"/>
      <c r="E204" s="202"/>
      <c r="F204" s="179">
        <f>C204</f>
        <v>329838223.38509023</v>
      </c>
      <c r="G204" s="180">
        <v>1.5913655348609279E-2</v>
      </c>
      <c r="H204" s="21"/>
      <c r="I204" s="38"/>
      <c r="K204" s="127"/>
    </row>
    <row r="205" spans="1:17" ht="12" customHeight="1" x14ac:dyDescent="0.25">
      <c r="A205" s="89"/>
      <c r="B205" s="87"/>
      <c r="C205" s="178"/>
      <c r="D205" s="171"/>
      <c r="E205" s="182"/>
      <c r="F205" s="179"/>
      <c r="G205" s="183"/>
      <c r="H205" s="24"/>
      <c r="I205" s="22"/>
    </row>
    <row r="206" spans="1:17" ht="12" customHeight="1" x14ac:dyDescent="0.25">
      <c r="A206" s="89" t="s">
        <v>0</v>
      </c>
      <c r="B206" s="87"/>
      <c r="C206" s="154">
        <v>85800427</v>
      </c>
      <c r="D206" s="171"/>
      <c r="E206" s="203"/>
      <c r="F206" s="204">
        <f>C206</f>
        <v>85800427</v>
      </c>
      <c r="G206" s="190">
        <v>5.2837281301218514E-3</v>
      </c>
      <c r="H206" s="22"/>
      <c r="I206" s="38"/>
    </row>
    <row r="207" spans="1:17" ht="12" customHeight="1" x14ac:dyDescent="0.25">
      <c r="A207" s="89"/>
      <c r="B207" s="87"/>
      <c r="C207" s="89"/>
      <c r="D207" s="87"/>
      <c r="E207" s="89"/>
      <c r="F207" s="89"/>
      <c r="G207" s="102"/>
      <c r="H207" s="90"/>
      <c r="I207" s="90"/>
    </row>
    <row r="208" spans="1:17" ht="12" customHeight="1" x14ac:dyDescent="0.25">
      <c r="A208" s="89" t="s">
        <v>34</v>
      </c>
      <c r="B208" s="87"/>
      <c r="C208" s="100">
        <f>SUM(C198:C206)</f>
        <v>18901918960.132343</v>
      </c>
      <c r="D208" s="103" t="s">
        <v>33</v>
      </c>
      <c r="E208" s="100">
        <f>SUM(E198:E206)</f>
        <v>1074728991.7167573</v>
      </c>
      <c r="F208" s="100">
        <f>SUM(F198:F206)</f>
        <v>8208903934.8456478</v>
      </c>
      <c r="G208" s="102">
        <f>SUM(G198:G206)</f>
        <v>1.0000000000000002</v>
      </c>
      <c r="H208" s="90"/>
      <c r="I208" s="90"/>
    </row>
    <row r="209" spans="1:9" ht="12" customHeight="1" x14ac:dyDescent="0.25">
      <c r="A209" s="89"/>
      <c r="B209" s="87"/>
      <c r="C209" s="89"/>
      <c r="D209" s="87"/>
      <c r="E209" s="89"/>
      <c r="H209" s="90"/>
      <c r="I209" s="90"/>
    </row>
    <row r="210" spans="1:9" ht="12" customHeight="1" x14ac:dyDescent="0.25">
      <c r="A210" s="89"/>
      <c r="B210" s="87"/>
      <c r="C210" s="89"/>
      <c r="D210" s="87"/>
      <c r="E210" s="89"/>
      <c r="F210" s="25"/>
      <c r="G210" s="104"/>
      <c r="H210" s="90"/>
      <c r="I210" s="90"/>
    </row>
    <row r="211" spans="1:9" ht="12" customHeight="1" thickBot="1" x14ac:dyDescent="0.3">
      <c r="A211" s="88" t="s">
        <v>192</v>
      </c>
      <c r="B211" s="87"/>
      <c r="C211" s="89"/>
      <c r="D211" s="87"/>
      <c r="E211" s="89"/>
      <c r="F211" s="89"/>
      <c r="G211" s="89"/>
      <c r="H211" s="90"/>
      <c r="I211" s="90"/>
    </row>
    <row r="212" spans="1:9" ht="39" x14ac:dyDescent="0.25">
      <c r="A212" s="89"/>
      <c r="B212" s="89"/>
      <c r="C212" s="99" t="s">
        <v>193</v>
      </c>
      <c r="D212" s="105"/>
      <c r="E212" s="99" t="s">
        <v>194</v>
      </c>
      <c r="F212" s="99" t="s">
        <v>195</v>
      </c>
      <c r="G212" s="89"/>
      <c r="H212" s="234" t="s">
        <v>196</v>
      </c>
      <c r="I212" s="235"/>
    </row>
    <row r="213" spans="1:9" ht="12" customHeight="1" x14ac:dyDescent="0.25">
      <c r="A213" s="89"/>
      <c r="B213" s="89"/>
      <c r="C213" s="103"/>
      <c r="D213" s="103"/>
      <c r="E213" s="103"/>
      <c r="F213" s="103"/>
      <c r="G213" s="89"/>
      <c r="H213" s="236"/>
      <c r="I213" s="237"/>
    </row>
    <row r="214" spans="1:9" ht="12" customHeight="1" x14ac:dyDescent="0.25">
      <c r="A214" s="89" t="s">
        <v>10</v>
      </c>
      <c r="B214" s="89"/>
      <c r="C214" s="107">
        <f>$C$191*G198</f>
        <v>0</v>
      </c>
      <c r="D214" s="103"/>
      <c r="E214" s="138"/>
      <c r="F214" s="108">
        <f>C214/F198</f>
        <v>0</v>
      </c>
      <c r="G214" s="89"/>
      <c r="H214" s="236"/>
      <c r="I214" s="237"/>
    </row>
    <row r="215" spans="1:9" ht="12" customHeight="1" x14ac:dyDescent="0.25">
      <c r="A215" s="89"/>
      <c r="B215" s="89"/>
      <c r="C215" s="107"/>
      <c r="D215" s="103"/>
      <c r="E215" s="103"/>
      <c r="F215" s="108"/>
      <c r="G215" s="89"/>
      <c r="H215" s="236"/>
      <c r="I215" s="237"/>
    </row>
    <row r="216" spans="1:9" ht="12" customHeight="1" x14ac:dyDescent="0.25">
      <c r="A216" s="89" t="s">
        <v>2</v>
      </c>
      <c r="B216" s="89"/>
      <c r="C216" s="107">
        <f>$C$191*G200</f>
        <v>0</v>
      </c>
      <c r="D216" s="103"/>
      <c r="E216" s="138"/>
      <c r="F216" s="108">
        <f>C216/F200</f>
        <v>0</v>
      </c>
      <c r="G216" s="89"/>
      <c r="H216" s="236"/>
      <c r="I216" s="237"/>
    </row>
    <row r="217" spans="1:9" ht="12" customHeight="1" x14ac:dyDescent="0.25">
      <c r="A217" s="89"/>
      <c r="B217" s="89"/>
      <c r="C217" s="107"/>
      <c r="D217" s="103"/>
      <c r="E217" s="103"/>
      <c r="F217" s="110"/>
      <c r="G217" s="89"/>
      <c r="H217" s="236"/>
      <c r="I217" s="237"/>
    </row>
    <row r="218" spans="1:9" ht="12" customHeight="1" x14ac:dyDescent="0.25">
      <c r="A218" s="89" t="s">
        <v>9</v>
      </c>
      <c r="B218" s="89"/>
      <c r="C218" s="107">
        <f>$C$191*G202</f>
        <v>0</v>
      </c>
      <c r="D218" s="103"/>
      <c r="E218" s="39">
        <f>C218/I202</f>
        <v>0</v>
      </c>
      <c r="F218" s="108">
        <f>(C218-(E218*J202))/K202</f>
        <v>0</v>
      </c>
      <c r="G218" s="89"/>
      <c r="H218" s="236"/>
      <c r="I218" s="237"/>
    </row>
    <row r="219" spans="1:9" ht="12" customHeight="1" x14ac:dyDescent="0.25">
      <c r="A219" s="89"/>
      <c r="B219" s="89"/>
      <c r="C219" s="107"/>
      <c r="D219" s="103"/>
      <c r="E219" s="103"/>
      <c r="F219" s="110"/>
      <c r="G219" s="89"/>
      <c r="H219" s="236"/>
      <c r="I219" s="237"/>
    </row>
    <row r="220" spans="1:9" ht="12" customHeight="1" x14ac:dyDescent="0.25">
      <c r="A220" s="89" t="s">
        <v>8</v>
      </c>
      <c r="B220" s="89"/>
      <c r="C220" s="107">
        <f>$C$191*G204</f>
        <v>0</v>
      </c>
      <c r="D220" s="103"/>
      <c r="E220" s="138"/>
      <c r="F220" s="108">
        <f>C220/F204</f>
        <v>0</v>
      </c>
      <c r="G220" s="89"/>
      <c r="H220" s="236"/>
      <c r="I220" s="237"/>
    </row>
    <row r="221" spans="1:9" ht="12" customHeight="1" x14ac:dyDescent="0.25">
      <c r="A221" s="89"/>
      <c r="B221" s="89"/>
      <c r="C221" s="107"/>
      <c r="D221" s="103"/>
      <c r="E221" s="103"/>
      <c r="F221" s="108"/>
      <c r="G221" s="89"/>
      <c r="H221" s="236"/>
      <c r="I221" s="237"/>
    </row>
    <row r="222" spans="1:9" ht="12" customHeight="1" x14ac:dyDescent="0.25">
      <c r="A222" s="89" t="s">
        <v>0</v>
      </c>
      <c r="B222" s="89"/>
      <c r="C222" s="111">
        <f>$C$191*G206</f>
        <v>0</v>
      </c>
      <c r="D222" s="103"/>
      <c r="E222" s="138"/>
      <c r="F222" s="112">
        <f>C222/F206</f>
        <v>0</v>
      </c>
      <c r="G222" s="89"/>
      <c r="H222" s="236"/>
      <c r="I222" s="237"/>
    </row>
    <row r="223" spans="1:9" ht="12" customHeight="1" x14ac:dyDescent="0.25">
      <c r="A223" s="89"/>
      <c r="B223" s="89"/>
      <c r="C223" s="107"/>
      <c r="D223" s="103"/>
      <c r="E223" s="103"/>
      <c r="F223" s="108"/>
      <c r="G223" s="89"/>
      <c r="H223" s="236"/>
      <c r="I223" s="237"/>
    </row>
    <row r="224" spans="1:9" ht="12" customHeight="1" thickBot="1" x14ac:dyDescent="0.3">
      <c r="A224" s="96" t="s">
        <v>29</v>
      </c>
      <c r="B224" s="89"/>
      <c r="C224" s="107">
        <f>SUM(C214:C223)</f>
        <v>0</v>
      </c>
      <c r="D224" s="103"/>
      <c r="E224" s="103"/>
      <c r="F224" s="113">
        <f>C224/F208</f>
        <v>0</v>
      </c>
      <c r="G224" s="89"/>
      <c r="H224" s="238"/>
      <c r="I224" s="239"/>
    </row>
    <row r="225" spans="1:10" ht="12" customHeight="1" x14ac:dyDescent="0.25">
      <c r="A225" s="89"/>
      <c r="B225" s="87"/>
      <c r="C225" s="89"/>
      <c r="D225" s="87"/>
      <c r="E225" s="89"/>
      <c r="F225" s="26"/>
      <c r="G225" s="114"/>
      <c r="H225" s="90"/>
      <c r="I225" s="90"/>
      <c r="J225" s="90"/>
    </row>
    <row r="226" spans="1:10" ht="12" customHeight="1" x14ac:dyDescent="0.25">
      <c r="A226" s="115"/>
      <c r="B226" s="115"/>
      <c r="C226" s="139"/>
      <c r="D226" s="89"/>
      <c r="E226" s="89"/>
      <c r="F226" s="89"/>
      <c r="G226" s="89"/>
    </row>
    <row r="227" spans="1:10" ht="15.75" x14ac:dyDescent="0.25">
      <c r="A227" s="87"/>
      <c r="B227" s="87"/>
      <c r="C227" s="87"/>
      <c r="D227" s="87"/>
      <c r="E227" s="87"/>
      <c r="F227" s="87"/>
      <c r="G227" s="87"/>
      <c r="I227" s="90"/>
      <c r="J227" s="90"/>
    </row>
    <row r="228" spans="1:10" ht="15.75" x14ac:dyDescent="0.25">
      <c r="A228" s="88" t="s">
        <v>197</v>
      </c>
      <c r="B228" s="87"/>
      <c r="C228" s="89"/>
      <c r="D228" s="87"/>
      <c r="E228" s="89"/>
      <c r="F228" s="89"/>
      <c r="G228" s="89"/>
      <c r="H228" s="90"/>
      <c r="I228" s="90"/>
      <c r="J228" s="90"/>
    </row>
    <row r="229" spans="1:10" ht="15.75" x14ac:dyDescent="0.25">
      <c r="A229" s="89"/>
      <c r="B229" s="87"/>
      <c r="C229" s="89"/>
      <c r="D229" s="87"/>
      <c r="E229" s="89"/>
      <c r="F229" s="89"/>
      <c r="G229" s="89"/>
      <c r="H229" s="90"/>
      <c r="I229" s="90"/>
      <c r="J229" s="90"/>
    </row>
    <row r="230" spans="1:10" ht="15.75" x14ac:dyDescent="0.25">
      <c r="A230" s="91" t="s">
        <v>38</v>
      </c>
      <c r="B230" s="87"/>
      <c r="C230" s="175">
        <v>0</v>
      </c>
      <c r="D230" s="87"/>
      <c r="E230" s="91"/>
      <c r="F230" s="89"/>
      <c r="G230" s="92"/>
      <c r="H230" s="87"/>
      <c r="I230" s="90"/>
      <c r="J230" s="90"/>
    </row>
    <row r="231" spans="1:10" ht="15.75" x14ac:dyDescent="0.25">
      <c r="A231" s="94" t="s">
        <v>37</v>
      </c>
      <c r="B231" s="87"/>
      <c r="C231" s="176">
        <v>0</v>
      </c>
      <c r="D231" s="87"/>
      <c r="E231" s="91"/>
      <c r="F231" s="89"/>
      <c r="G231" s="95"/>
      <c r="H231" s="87"/>
      <c r="I231" s="90"/>
      <c r="J231" s="90"/>
    </row>
    <row r="232" spans="1:10" ht="15.75" x14ac:dyDescent="0.25">
      <c r="A232" s="96" t="s">
        <v>184</v>
      </c>
      <c r="B232" s="87"/>
      <c r="C232" s="97">
        <f>SUM(C230:C231)</f>
        <v>0</v>
      </c>
      <c r="D232" s="87"/>
      <c r="E232" s="89"/>
      <c r="F232" s="89"/>
      <c r="G232" s="89"/>
      <c r="H232" s="90"/>
      <c r="I232" s="90"/>
      <c r="J232" s="90"/>
    </row>
    <row r="233" spans="1:10" ht="15.75" x14ac:dyDescent="0.25">
      <c r="A233" s="96"/>
      <c r="B233" s="87"/>
      <c r="C233" s="89"/>
      <c r="D233" s="87"/>
      <c r="E233" s="89"/>
      <c r="F233" s="89"/>
      <c r="G233" s="89"/>
      <c r="H233" s="90"/>
      <c r="I233" s="90"/>
      <c r="J233" s="90"/>
    </row>
    <row r="234" spans="1:10" ht="15.75" x14ac:dyDescent="0.25">
      <c r="A234" s="91"/>
      <c r="B234" s="87"/>
      <c r="C234" s="98"/>
      <c r="D234" s="87"/>
      <c r="E234" s="89"/>
      <c r="F234" s="89"/>
      <c r="G234" s="89"/>
      <c r="H234" s="90"/>
      <c r="I234" s="90"/>
      <c r="J234" s="90"/>
    </row>
    <row r="235" spans="1:10" ht="15.75" x14ac:dyDescent="0.25">
      <c r="A235" s="88"/>
      <c r="B235" s="87"/>
      <c r="C235" s="89"/>
      <c r="D235" s="87"/>
      <c r="E235" s="89"/>
      <c r="F235" s="89"/>
      <c r="G235" s="89"/>
      <c r="H235" s="90"/>
      <c r="I235" s="90"/>
      <c r="J235" s="90"/>
    </row>
    <row r="236" spans="1:10" ht="15.75" x14ac:dyDescent="0.25">
      <c r="A236" s="88" t="s">
        <v>198</v>
      </c>
      <c r="B236" s="87"/>
      <c r="C236" s="89"/>
      <c r="D236" s="87"/>
      <c r="E236" s="89"/>
      <c r="F236" s="89"/>
      <c r="G236" s="89"/>
      <c r="H236" s="90"/>
      <c r="I236" s="90"/>
      <c r="J236" s="90"/>
    </row>
    <row r="237" spans="1:10" ht="39" x14ac:dyDescent="0.25">
      <c r="A237" s="96"/>
      <c r="B237" s="87"/>
      <c r="C237" s="99" t="str">
        <f>$C$18</f>
        <v>2019 GRC P2 Sales TY 2020
(kWh)</v>
      </c>
      <c r="D237" s="87"/>
      <c r="E237" s="99" t="s">
        <v>289</v>
      </c>
      <c r="F237" s="90"/>
      <c r="G237" s="99" t="s">
        <v>188</v>
      </c>
      <c r="H237" s="99" t="s">
        <v>189</v>
      </c>
      <c r="I237" s="99" t="s">
        <v>190</v>
      </c>
    </row>
    <row r="238" spans="1:10" ht="12" customHeight="1" x14ac:dyDescent="0.25">
      <c r="A238" s="96"/>
      <c r="B238" s="87"/>
      <c r="C238" s="89"/>
      <c r="D238" s="87"/>
      <c r="E238" s="89"/>
      <c r="F238" s="90"/>
      <c r="G238" s="90"/>
      <c r="H238" s="90"/>
    </row>
    <row r="239" spans="1:10" ht="12" customHeight="1" x14ac:dyDescent="0.25">
      <c r="A239" s="96" t="s">
        <v>10</v>
      </c>
      <c r="B239" s="87"/>
      <c r="C239" s="178">
        <v>6652988141.1181479</v>
      </c>
      <c r="D239" s="171"/>
      <c r="E239" s="180">
        <v>8.4156525586731964E-2</v>
      </c>
      <c r="F239" s="21"/>
      <c r="G239" s="137"/>
    </row>
    <row r="240" spans="1:10" ht="12" customHeight="1" x14ac:dyDescent="0.25">
      <c r="A240" s="96"/>
      <c r="B240" s="87"/>
      <c r="C240" s="178"/>
      <c r="D240" s="171"/>
      <c r="E240" s="180"/>
      <c r="F240" s="22"/>
      <c r="G240" s="23"/>
    </row>
    <row r="241" spans="1:9" ht="12" customHeight="1" x14ac:dyDescent="0.25">
      <c r="A241" s="96" t="s">
        <v>2</v>
      </c>
      <c r="B241" s="87"/>
      <c r="C241" s="178">
        <v>2200347912.2960796</v>
      </c>
      <c r="D241" s="171"/>
      <c r="E241" s="180">
        <v>0</v>
      </c>
      <c r="F241" s="21"/>
      <c r="G241" s="38"/>
    </row>
    <row r="242" spans="1:9" ht="12" customHeight="1" x14ac:dyDescent="0.25">
      <c r="A242" s="96"/>
      <c r="B242" s="87"/>
      <c r="C242" s="178"/>
      <c r="D242" s="171"/>
      <c r="E242" s="180"/>
      <c r="F242" s="21"/>
      <c r="G242" s="22"/>
    </row>
    <row r="243" spans="1:9" ht="12" customHeight="1" x14ac:dyDescent="0.25">
      <c r="A243" s="96" t="s">
        <v>9</v>
      </c>
      <c r="B243" s="87"/>
      <c r="C243" s="178">
        <v>9632944256.333025</v>
      </c>
      <c r="D243" s="171"/>
      <c r="E243" s="180">
        <v>0.87714842933187254</v>
      </c>
      <c r="F243" s="21"/>
      <c r="G243" s="22">
        <v>25689573.606172942</v>
      </c>
      <c r="H243" s="127">
        <v>4857865.0255947243</v>
      </c>
      <c r="I243" s="127">
        <v>7573471454.7002974</v>
      </c>
    </row>
    <row r="244" spans="1:9" ht="12" customHeight="1" x14ac:dyDescent="0.25">
      <c r="A244" s="96"/>
      <c r="B244" s="87"/>
      <c r="C244" s="178"/>
      <c r="D244" s="171"/>
      <c r="E244" s="180"/>
      <c r="F244" s="24"/>
      <c r="G244" s="23"/>
    </row>
    <row r="245" spans="1:9" ht="12" customHeight="1" x14ac:dyDescent="0.25">
      <c r="A245" s="96" t="s">
        <v>8</v>
      </c>
      <c r="B245" s="87"/>
      <c r="C245" s="178">
        <v>329838223.38509023</v>
      </c>
      <c r="D245" s="171"/>
      <c r="E245" s="180">
        <v>3.8695045081395513E-2</v>
      </c>
      <c r="F245" s="21"/>
      <c r="G245" s="38"/>
    </row>
    <row r="246" spans="1:9" ht="12" customHeight="1" x14ac:dyDescent="0.25">
      <c r="A246" s="89"/>
      <c r="B246" s="87"/>
      <c r="C246" s="178"/>
      <c r="D246" s="171"/>
      <c r="E246" s="183"/>
      <c r="F246" s="24"/>
      <c r="G246" s="22"/>
    </row>
    <row r="247" spans="1:9" ht="12" customHeight="1" x14ac:dyDescent="0.25">
      <c r="A247" s="89" t="s">
        <v>0</v>
      </c>
      <c r="B247" s="87"/>
      <c r="C247" s="154">
        <v>85800427</v>
      </c>
      <c r="D247" s="171"/>
      <c r="E247" s="190">
        <v>0</v>
      </c>
      <c r="F247" s="22"/>
      <c r="G247" s="38"/>
    </row>
    <row r="248" spans="1:9" ht="12" customHeight="1" x14ac:dyDescent="0.25">
      <c r="A248" s="89"/>
      <c r="B248" s="87"/>
      <c r="C248" s="89"/>
      <c r="D248" s="87"/>
      <c r="E248" s="102"/>
      <c r="F248" s="90"/>
      <c r="G248" s="90"/>
    </row>
    <row r="249" spans="1:9" ht="12" customHeight="1" x14ac:dyDescent="0.25">
      <c r="A249" s="89" t="s">
        <v>34</v>
      </c>
      <c r="B249" s="87"/>
      <c r="C249" s="100">
        <f>SUM(C239:C247)</f>
        <v>18901918960.132343</v>
      </c>
      <c r="D249" s="103"/>
      <c r="E249" s="102">
        <f>SUM(E239:E247)</f>
        <v>1</v>
      </c>
      <c r="F249" s="90"/>
      <c r="G249" s="90"/>
    </row>
    <row r="250" spans="1:9" ht="12" customHeight="1" x14ac:dyDescent="0.25">
      <c r="A250" s="89"/>
      <c r="B250" s="87"/>
      <c r="C250" s="89"/>
      <c r="D250" s="87"/>
      <c r="E250" s="89"/>
      <c r="H250" s="90"/>
      <c r="I250" s="90"/>
    </row>
    <row r="251" spans="1:9" ht="12" customHeight="1" x14ac:dyDescent="0.25">
      <c r="A251" s="89"/>
      <c r="B251" s="87"/>
      <c r="C251" s="89"/>
      <c r="D251" s="87"/>
      <c r="E251" s="89"/>
      <c r="F251" s="25"/>
      <c r="G251" s="104"/>
      <c r="H251" s="90"/>
      <c r="I251" s="90"/>
    </row>
    <row r="252" spans="1:9" ht="12" customHeight="1" thickBot="1" x14ac:dyDescent="0.3">
      <c r="A252" s="88" t="s">
        <v>199</v>
      </c>
      <c r="B252" s="87"/>
      <c r="C252" s="89"/>
      <c r="D252" s="87"/>
      <c r="E252" s="89"/>
      <c r="F252" s="89"/>
      <c r="G252" s="89"/>
      <c r="H252" s="90"/>
      <c r="I252" s="90"/>
    </row>
    <row r="253" spans="1:9" ht="39" x14ac:dyDescent="0.25">
      <c r="A253" s="89"/>
      <c r="B253" s="89"/>
      <c r="C253" s="99" t="s">
        <v>200</v>
      </c>
      <c r="D253" s="105"/>
      <c r="E253" s="99" t="s">
        <v>201</v>
      </c>
      <c r="F253" s="99" t="s">
        <v>202</v>
      </c>
      <c r="G253" s="89"/>
      <c r="H253" s="234" t="s">
        <v>196</v>
      </c>
      <c r="I253" s="235"/>
    </row>
    <row r="254" spans="1:9" ht="12" customHeight="1" x14ac:dyDescent="0.25">
      <c r="A254" s="89"/>
      <c r="B254" s="89"/>
      <c r="C254" s="103"/>
      <c r="D254" s="103"/>
      <c r="E254" s="103"/>
      <c r="F254" s="103"/>
      <c r="G254" s="89"/>
      <c r="H254" s="236"/>
      <c r="I254" s="237"/>
    </row>
    <row r="255" spans="1:9" ht="12" customHeight="1" x14ac:dyDescent="0.25">
      <c r="A255" s="89" t="s">
        <v>10</v>
      </c>
      <c r="B255" s="89"/>
      <c r="C255" s="107">
        <f>$C$232*E239</f>
        <v>0</v>
      </c>
      <c r="D255" s="103"/>
      <c r="E255" s="138"/>
      <c r="F255" s="108">
        <f>C255/C239</f>
        <v>0</v>
      </c>
      <c r="G255" s="89"/>
      <c r="H255" s="236"/>
      <c r="I255" s="237"/>
    </row>
    <row r="256" spans="1:9" ht="12" customHeight="1" x14ac:dyDescent="0.25">
      <c r="A256" s="89"/>
      <c r="B256" s="89"/>
      <c r="C256" s="107"/>
      <c r="D256" s="103"/>
      <c r="E256" s="103"/>
      <c r="F256" s="108"/>
      <c r="G256" s="89"/>
      <c r="H256" s="236"/>
      <c r="I256" s="237"/>
    </row>
    <row r="257" spans="1:10" ht="12" customHeight="1" x14ac:dyDescent="0.25">
      <c r="A257" s="89" t="s">
        <v>2</v>
      </c>
      <c r="B257" s="89"/>
      <c r="C257" s="107">
        <f>$C$232*E241</f>
        <v>0</v>
      </c>
      <c r="D257" s="103"/>
      <c r="E257" s="138"/>
      <c r="F257" s="108">
        <f>C257/C241</f>
        <v>0</v>
      </c>
      <c r="G257" s="89"/>
      <c r="H257" s="236"/>
      <c r="I257" s="237"/>
    </row>
    <row r="258" spans="1:10" ht="12" customHeight="1" x14ac:dyDescent="0.25">
      <c r="A258" s="89"/>
      <c r="B258" s="89"/>
      <c r="C258" s="107"/>
      <c r="D258" s="103"/>
      <c r="E258" s="103"/>
      <c r="F258" s="110"/>
      <c r="G258" s="89"/>
      <c r="H258" s="236"/>
      <c r="I258" s="237"/>
    </row>
    <row r="259" spans="1:10" ht="12" customHeight="1" x14ac:dyDescent="0.25">
      <c r="A259" s="89" t="s">
        <v>9</v>
      </c>
      <c r="B259" s="89"/>
      <c r="C259" s="107">
        <f>$C$232*E243</f>
        <v>0</v>
      </c>
      <c r="D259" s="103"/>
      <c r="E259" s="39">
        <f>C259/G243</f>
        <v>0</v>
      </c>
      <c r="F259" s="108">
        <f>(C259-(E259*H243))/I243</f>
        <v>0</v>
      </c>
      <c r="G259" s="89"/>
      <c r="H259" s="236"/>
      <c r="I259" s="237"/>
    </row>
    <row r="260" spans="1:10" ht="12" customHeight="1" x14ac:dyDescent="0.25">
      <c r="A260" s="89"/>
      <c r="B260" s="89"/>
      <c r="C260" s="107"/>
      <c r="D260" s="103"/>
      <c r="E260" s="103"/>
      <c r="F260" s="110"/>
      <c r="G260" s="89"/>
      <c r="H260" s="236"/>
      <c r="I260" s="237"/>
    </row>
    <row r="261" spans="1:10" ht="12" customHeight="1" x14ac:dyDescent="0.25">
      <c r="A261" s="89" t="s">
        <v>8</v>
      </c>
      <c r="B261" s="89"/>
      <c r="C261" s="107">
        <f>$C$232*E245</f>
        <v>0</v>
      </c>
      <c r="D261" s="103"/>
      <c r="E261" s="138"/>
      <c r="F261" s="108">
        <f>C261/C245</f>
        <v>0</v>
      </c>
      <c r="G261" s="89"/>
      <c r="H261" s="236"/>
      <c r="I261" s="237"/>
    </row>
    <row r="262" spans="1:10" ht="12" customHeight="1" x14ac:dyDescent="0.25">
      <c r="A262" s="89"/>
      <c r="B262" s="89"/>
      <c r="C262" s="107"/>
      <c r="D262" s="103"/>
      <c r="E262" s="103"/>
      <c r="F262" s="108"/>
      <c r="G262" s="89"/>
      <c r="H262" s="236"/>
      <c r="I262" s="237"/>
    </row>
    <row r="263" spans="1:10" ht="12" customHeight="1" x14ac:dyDescent="0.25">
      <c r="A263" s="89" t="s">
        <v>0</v>
      </c>
      <c r="B263" s="89"/>
      <c r="C263" s="111">
        <f>$C$232*E247</f>
        <v>0</v>
      </c>
      <c r="D263" s="103"/>
      <c r="E263" s="138"/>
      <c r="F263" s="112">
        <f>C263/C247</f>
        <v>0</v>
      </c>
      <c r="G263" s="89"/>
      <c r="H263" s="236"/>
      <c r="I263" s="237"/>
    </row>
    <row r="264" spans="1:10" ht="12" customHeight="1" x14ac:dyDescent="0.25">
      <c r="A264" s="89"/>
      <c r="B264" s="89"/>
      <c r="C264" s="107"/>
      <c r="D264" s="103"/>
      <c r="E264" s="103"/>
      <c r="F264" s="108"/>
      <c r="G264" s="89"/>
      <c r="H264" s="236"/>
      <c r="I264" s="237"/>
    </row>
    <row r="265" spans="1:10" ht="12" customHeight="1" thickBot="1" x14ac:dyDescent="0.3">
      <c r="A265" s="96" t="s">
        <v>29</v>
      </c>
      <c r="B265" s="89"/>
      <c r="C265" s="107">
        <f>SUM(C255:C264)</f>
        <v>0</v>
      </c>
      <c r="D265" s="103"/>
      <c r="E265" s="103"/>
      <c r="F265" s="113">
        <f>C265/C249</f>
        <v>0</v>
      </c>
      <c r="G265" s="89"/>
      <c r="H265" s="238"/>
      <c r="I265" s="239"/>
    </row>
    <row r="266" spans="1:10" ht="12" customHeight="1" x14ac:dyDescent="0.25">
      <c r="A266" s="89"/>
      <c r="B266" s="87"/>
      <c r="C266" s="89"/>
      <c r="D266" s="87"/>
      <c r="E266" s="89"/>
      <c r="F266" s="26"/>
      <c r="G266" s="114"/>
      <c r="H266" s="90"/>
      <c r="I266" s="90"/>
      <c r="J266" s="90"/>
    </row>
    <row r="267" spans="1:10" ht="12" customHeight="1" x14ac:dyDescent="0.25">
      <c r="A267" s="115"/>
      <c r="B267" s="115"/>
      <c r="C267" s="139"/>
      <c r="D267" s="89"/>
      <c r="E267" s="89"/>
      <c r="F267" s="89"/>
      <c r="G267" s="89"/>
    </row>
    <row r="268" spans="1:10" ht="12" customHeight="1" x14ac:dyDescent="0.25">
      <c r="A268" s="115"/>
      <c r="B268" s="115"/>
      <c r="C268" s="139"/>
      <c r="D268" s="89"/>
      <c r="E268" s="89"/>
      <c r="F268" s="89"/>
      <c r="G268" s="89"/>
    </row>
    <row r="269" spans="1:10" ht="12" customHeight="1" x14ac:dyDescent="0.25">
      <c r="A269" s="88" t="s">
        <v>279</v>
      </c>
      <c r="B269" s="87"/>
      <c r="C269" s="89"/>
      <c r="D269" s="87"/>
      <c r="E269" s="89"/>
      <c r="F269" s="89"/>
      <c r="G269" s="89"/>
    </row>
    <row r="270" spans="1:10" ht="12" customHeight="1" x14ac:dyDescent="0.25">
      <c r="A270" s="89"/>
      <c r="B270" s="87"/>
      <c r="C270" s="89"/>
      <c r="D270" s="87"/>
      <c r="E270" s="89"/>
      <c r="F270" s="89"/>
      <c r="G270" s="89"/>
    </row>
    <row r="271" spans="1:10" ht="12" customHeight="1" x14ac:dyDescent="0.25">
      <c r="A271" s="91" t="s">
        <v>38</v>
      </c>
      <c r="B271" s="87"/>
      <c r="C271" s="175">
        <v>32645</v>
      </c>
      <c r="D271" s="87"/>
      <c r="E271" s="91"/>
      <c r="F271" s="89"/>
      <c r="G271" s="92"/>
    </row>
    <row r="272" spans="1:10" ht="12" customHeight="1" x14ac:dyDescent="0.25">
      <c r="A272" s="94" t="s">
        <v>37</v>
      </c>
      <c r="B272" s="87"/>
      <c r="C272" s="176">
        <v>14000</v>
      </c>
      <c r="D272" s="87"/>
      <c r="E272" s="91"/>
      <c r="F272" s="89"/>
      <c r="G272" s="95"/>
    </row>
    <row r="273" spans="1:7" ht="12" customHeight="1" x14ac:dyDescent="0.25">
      <c r="A273" s="96" t="s">
        <v>184</v>
      </c>
      <c r="B273" s="87"/>
      <c r="C273" s="97">
        <f>SUM(C271:C272)</f>
        <v>46645</v>
      </c>
      <c r="D273" s="87"/>
      <c r="E273" s="89"/>
      <c r="F273" s="89"/>
      <c r="G273" s="89"/>
    </row>
    <row r="274" spans="1:7" ht="12" customHeight="1" x14ac:dyDescent="0.25">
      <c r="A274" s="96"/>
      <c r="B274" s="87"/>
      <c r="C274" s="89"/>
      <c r="D274" s="87"/>
      <c r="E274" s="89"/>
      <c r="F274" s="89"/>
      <c r="G274" s="89"/>
    </row>
    <row r="275" spans="1:7" ht="12" customHeight="1" x14ac:dyDescent="0.25">
      <c r="A275" s="91"/>
      <c r="B275" s="87"/>
      <c r="C275" s="98"/>
      <c r="D275" s="87"/>
      <c r="E275" s="89"/>
      <c r="F275" s="89"/>
      <c r="G275" s="89"/>
    </row>
    <row r="276" spans="1:7" ht="12" customHeight="1" x14ac:dyDescent="0.25">
      <c r="A276" s="88"/>
      <c r="B276" s="87"/>
      <c r="C276" s="89"/>
      <c r="D276" s="87"/>
      <c r="E276" s="89"/>
      <c r="F276" s="89"/>
      <c r="G276" s="89"/>
    </row>
    <row r="277" spans="1:7" ht="12" customHeight="1" x14ac:dyDescent="0.25">
      <c r="A277" s="88" t="s">
        <v>280</v>
      </c>
      <c r="B277" s="87"/>
      <c r="C277" s="89"/>
      <c r="D277" s="87"/>
      <c r="E277" s="89"/>
      <c r="F277" s="89"/>
      <c r="G277" s="89"/>
    </row>
    <row r="278" spans="1:7" ht="41.45" customHeight="1" x14ac:dyDescent="0.25">
      <c r="A278" s="96"/>
      <c r="B278" s="87"/>
      <c r="C278" s="99" t="str">
        <f>$C$18</f>
        <v>2019 GRC P2 Sales TY 2020
(kWh)</v>
      </c>
      <c r="D278" s="87"/>
      <c r="E278" s="99" t="s">
        <v>49</v>
      </c>
      <c r="F278" s="99" t="s">
        <v>48</v>
      </c>
      <c r="G278" s="99" t="s">
        <v>289</v>
      </c>
    </row>
    <row r="279" spans="1:7" ht="12" customHeight="1" x14ac:dyDescent="0.25">
      <c r="A279" s="96"/>
      <c r="B279" s="87"/>
      <c r="C279" s="89"/>
      <c r="D279" s="87"/>
      <c r="E279" s="89"/>
      <c r="F279" s="89"/>
      <c r="G279" s="89"/>
    </row>
    <row r="280" spans="1:7" ht="12" customHeight="1" x14ac:dyDescent="0.25">
      <c r="A280" s="96" t="s">
        <v>10</v>
      </c>
      <c r="B280" s="87"/>
      <c r="C280" s="178">
        <v>6652988141.1181479</v>
      </c>
      <c r="D280" s="171"/>
      <c r="E280" s="178">
        <v>1016702651.3608736</v>
      </c>
      <c r="F280" s="179">
        <f>C280-E280</f>
        <v>5636285489.7572746</v>
      </c>
      <c r="G280" s="180">
        <f>F280/$F$290</f>
        <v>0.31695711820870948</v>
      </c>
    </row>
    <row r="281" spans="1:7" ht="12" customHeight="1" x14ac:dyDescent="0.25">
      <c r="A281" s="96"/>
      <c r="B281" s="87"/>
      <c r="C281" s="178"/>
      <c r="D281" s="171"/>
      <c r="E281" s="181"/>
      <c r="F281" s="179"/>
      <c r="G281" s="180"/>
    </row>
    <row r="282" spans="1:7" ht="12" customHeight="1" x14ac:dyDescent="0.25">
      <c r="A282" s="96" t="s">
        <v>2</v>
      </c>
      <c r="B282" s="87"/>
      <c r="C282" s="178">
        <v>2200347912.2960796</v>
      </c>
      <c r="D282" s="171"/>
      <c r="E282" s="178">
        <v>2271745.422114118</v>
      </c>
      <c r="F282" s="179">
        <f>C282-E282</f>
        <v>2198076166.8739657</v>
      </c>
      <c r="G282" s="180">
        <f t="shared" ref="G282:G288" si="1">F282/$F$290</f>
        <v>0.12360904867606727</v>
      </c>
    </row>
    <row r="283" spans="1:7" ht="12" customHeight="1" x14ac:dyDescent="0.25">
      <c r="A283" s="96"/>
      <c r="B283" s="87"/>
      <c r="C283" s="178"/>
      <c r="D283" s="171"/>
      <c r="E283" s="178"/>
      <c r="F283" s="179"/>
      <c r="G283" s="180"/>
    </row>
    <row r="284" spans="1:7" ht="12" customHeight="1" x14ac:dyDescent="0.25">
      <c r="A284" s="96" t="s">
        <v>9</v>
      </c>
      <c r="B284" s="87"/>
      <c r="C284" s="178">
        <v>9632944256.333025</v>
      </c>
      <c r="D284" s="171"/>
      <c r="E284" s="178">
        <v>14658222.763086554</v>
      </c>
      <c r="F284" s="179">
        <f>C284-E284</f>
        <v>9618286033.5699387</v>
      </c>
      <c r="G284" s="180">
        <f t="shared" si="1"/>
        <v>0.54088534529479504</v>
      </c>
    </row>
    <row r="285" spans="1:7" ht="12" customHeight="1" x14ac:dyDescent="0.25">
      <c r="A285" s="96"/>
      <c r="B285" s="87"/>
      <c r="C285" s="178"/>
      <c r="D285" s="171"/>
      <c r="E285" s="179"/>
      <c r="F285" s="179"/>
      <c r="G285" s="180"/>
    </row>
    <row r="286" spans="1:7" ht="12" customHeight="1" x14ac:dyDescent="0.25">
      <c r="A286" s="96" t="s">
        <v>8</v>
      </c>
      <c r="B286" s="87"/>
      <c r="C286" s="178">
        <v>329838223.38509023</v>
      </c>
      <c r="D286" s="171"/>
      <c r="E286" s="182"/>
      <c r="F286" s="179">
        <f>C286-E286</f>
        <v>329838223.38509023</v>
      </c>
      <c r="G286" s="180">
        <f t="shared" si="1"/>
        <v>1.8548487820428158E-2</v>
      </c>
    </row>
    <row r="287" spans="1:7" ht="12" customHeight="1" x14ac:dyDescent="0.25">
      <c r="A287" s="89"/>
      <c r="B287" s="87"/>
      <c r="C287" s="178"/>
      <c r="D287" s="171"/>
      <c r="E287" s="182"/>
      <c r="F287" s="179"/>
      <c r="G287" s="180"/>
    </row>
    <row r="288" spans="1:7" ht="12" customHeight="1" x14ac:dyDescent="0.25">
      <c r="A288" s="89" t="s">
        <v>0</v>
      </c>
      <c r="B288" s="87"/>
      <c r="C288" s="154">
        <v>85800427</v>
      </c>
      <c r="D288" s="171"/>
      <c r="E288" s="199"/>
      <c r="F288" s="179">
        <v>0</v>
      </c>
      <c r="G288" s="180">
        <f t="shared" si="1"/>
        <v>0</v>
      </c>
    </row>
    <row r="289" spans="1:7" ht="12" customHeight="1" x14ac:dyDescent="0.25">
      <c r="A289" s="89"/>
      <c r="B289" s="87"/>
      <c r="C289" s="89"/>
      <c r="D289" s="87"/>
      <c r="E289" s="89"/>
      <c r="F289" s="89"/>
      <c r="G289" s="102"/>
    </row>
    <row r="290" spans="1:7" ht="12" customHeight="1" x14ac:dyDescent="0.25">
      <c r="A290" s="89" t="s">
        <v>34</v>
      </c>
      <c r="B290" s="87"/>
      <c r="C290" s="100">
        <f>SUM(C280:C288)</f>
        <v>18901918960.132343</v>
      </c>
      <c r="D290" s="103" t="s">
        <v>33</v>
      </c>
      <c r="E290" s="100">
        <f>SUM(E280:E288)</f>
        <v>1033632619.5460743</v>
      </c>
      <c r="F290" s="100">
        <f>SUM(F280:F288)</f>
        <v>17782485913.586269</v>
      </c>
      <c r="G290" s="102">
        <f>SUM(G280:G286)</f>
        <v>0.99999999999999989</v>
      </c>
    </row>
    <row r="291" spans="1:7" ht="12" customHeight="1" x14ac:dyDescent="0.25">
      <c r="A291" s="89"/>
      <c r="B291" s="87"/>
      <c r="C291" s="89"/>
      <c r="D291" s="87"/>
      <c r="E291" s="89"/>
    </row>
    <row r="292" spans="1:7" ht="12" customHeight="1" x14ac:dyDescent="0.25">
      <c r="A292" s="89"/>
      <c r="B292" s="87"/>
      <c r="C292" s="89"/>
      <c r="D292" s="87"/>
      <c r="E292" s="89"/>
      <c r="F292" s="25"/>
      <c r="G292" s="165"/>
    </row>
    <row r="293" spans="1:7" ht="12" customHeight="1" x14ac:dyDescent="0.25">
      <c r="A293" s="88" t="s">
        <v>281</v>
      </c>
      <c r="B293" s="87"/>
      <c r="C293" s="89"/>
      <c r="D293" s="87"/>
      <c r="E293" s="89"/>
      <c r="F293" s="89"/>
      <c r="G293" s="89"/>
    </row>
    <row r="294" spans="1:7" ht="54" customHeight="1" x14ac:dyDescent="0.25">
      <c r="A294" s="89"/>
      <c r="B294" s="89"/>
      <c r="C294" s="99" t="s">
        <v>282</v>
      </c>
      <c r="D294" s="105"/>
      <c r="E294" s="99" t="s">
        <v>283</v>
      </c>
      <c r="F294" s="89"/>
      <c r="G294" s="89"/>
    </row>
    <row r="295" spans="1:7" ht="12" customHeight="1" x14ac:dyDescent="0.25">
      <c r="A295" s="89"/>
      <c r="B295" s="89"/>
      <c r="C295" s="103"/>
      <c r="D295" s="103"/>
      <c r="E295" s="103"/>
      <c r="F295" s="89"/>
      <c r="G295" s="106"/>
    </row>
    <row r="296" spans="1:7" ht="12" customHeight="1" x14ac:dyDescent="0.25">
      <c r="A296" s="89" t="s">
        <v>10</v>
      </c>
      <c r="B296" s="89"/>
      <c r="C296" s="140">
        <f>$C$273*G280</f>
        <v>14784.464778845253</v>
      </c>
      <c r="D296" s="103"/>
      <c r="E296" s="108">
        <f>C296/F280</f>
        <v>2.6230865710604633E-6</v>
      </c>
      <c r="F296" s="89"/>
      <c r="G296" s="109"/>
    </row>
    <row r="297" spans="1:7" ht="12" customHeight="1" x14ac:dyDescent="0.25">
      <c r="A297" s="89"/>
      <c r="B297" s="89"/>
      <c r="C297" s="107"/>
      <c r="D297" s="103"/>
      <c r="E297" s="108"/>
      <c r="F297" s="89"/>
      <c r="G297" s="89"/>
    </row>
    <row r="298" spans="1:7" ht="12" customHeight="1" x14ac:dyDescent="0.25">
      <c r="A298" s="89" t="s">
        <v>2</v>
      </c>
      <c r="B298" s="89"/>
      <c r="C298" s="140">
        <f>$C$273*G282</f>
        <v>5765.7440754951576</v>
      </c>
      <c r="D298" s="103"/>
      <c r="E298" s="108">
        <f>C298/F282</f>
        <v>2.6230865710604633E-6</v>
      </c>
      <c r="F298" s="89"/>
      <c r="G298" s="89"/>
    </row>
    <row r="299" spans="1:7" ht="12" customHeight="1" x14ac:dyDescent="0.25">
      <c r="A299" s="89"/>
      <c r="B299" s="89"/>
      <c r="C299" s="107"/>
      <c r="D299" s="103"/>
      <c r="E299" s="110"/>
      <c r="F299" s="89"/>
      <c r="G299" s="89"/>
    </row>
    <row r="300" spans="1:7" ht="12" customHeight="1" x14ac:dyDescent="0.25">
      <c r="A300" s="89" t="s">
        <v>9</v>
      </c>
      <c r="B300" s="89"/>
      <c r="C300" s="140">
        <f>$C$273*G284</f>
        <v>25229.596931275715</v>
      </c>
      <c r="D300" s="103"/>
      <c r="E300" s="108">
        <f>C300/F284</f>
        <v>2.6230865710604633E-6</v>
      </c>
      <c r="F300" s="89"/>
      <c r="G300" s="89"/>
    </row>
    <row r="301" spans="1:7" ht="12" customHeight="1" x14ac:dyDescent="0.25">
      <c r="A301" s="89"/>
      <c r="B301" s="89"/>
      <c r="C301" s="107"/>
      <c r="D301" s="103"/>
      <c r="E301" s="108"/>
      <c r="F301" s="89"/>
      <c r="G301" s="89"/>
    </row>
    <row r="302" spans="1:7" ht="12" customHeight="1" x14ac:dyDescent="0.25">
      <c r="A302" s="89" t="s">
        <v>8</v>
      </c>
      <c r="B302" s="89"/>
      <c r="C302" s="141">
        <f>$C$273*G286</f>
        <v>865.19421438387144</v>
      </c>
      <c r="D302" s="103"/>
      <c r="E302" s="112">
        <f>C302/F286</f>
        <v>2.6230865710604633E-6</v>
      </c>
      <c r="F302" s="89"/>
      <c r="G302" s="89"/>
    </row>
    <row r="303" spans="1:7" ht="12" customHeight="1" x14ac:dyDescent="0.25">
      <c r="A303" s="89"/>
      <c r="B303" s="89"/>
      <c r="C303" s="107"/>
      <c r="D303" s="103"/>
      <c r="E303" s="108"/>
      <c r="F303" s="89"/>
      <c r="G303" s="89"/>
    </row>
    <row r="304" spans="1:7" ht="12" customHeight="1" x14ac:dyDescent="0.25">
      <c r="A304" s="96" t="s">
        <v>29</v>
      </c>
      <c r="B304" s="89"/>
      <c r="C304" s="107">
        <f>SUM(C296:C303)</f>
        <v>46645</v>
      </c>
      <c r="D304" s="103"/>
      <c r="E304" s="113">
        <f>C304/F290</f>
        <v>2.6230865710604633E-6</v>
      </c>
      <c r="F304" s="89"/>
      <c r="G304" s="89"/>
    </row>
    <row r="305" spans="1:7" ht="12" customHeight="1" x14ac:dyDescent="0.25">
      <c r="A305" s="89"/>
      <c r="B305" s="87"/>
      <c r="C305" s="89"/>
      <c r="D305" s="87"/>
      <c r="E305" s="89"/>
      <c r="F305" s="26"/>
      <c r="G305" s="114"/>
    </row>
    <row r="306" spans="1:7" ht="12" customHeight="1" x14ac:dyDescent="0.25">
      <c r="A306" s="115"/>
      <c r="B306" s="115"/>
      <c r="C306" s="104"/>
      <c r="D306" s="89"/>
      <c r="E306" s="89"/>
      <c r="F306" s="89"/>
      <c r="G306" s="89"/>
    </row>
    <row r="307" spans="1:7" ht="12" customHeight="1" x14ac:dyDescent="0.25">
      <c r="A307" s="115"/>
      <c r="B307" s="115"/>
      <c r="C307" s="139"/>
      <c r="D307" s="89"/>
      <c r="E307" s="89"/>
      <c r="F307" s="89"/>
      <c r="G307" s="89"/>
    </row>
    <row r="308" spans="1:7" ht="12" customHeight="1" x14ac:dyDescent="0.25">
      <c r="A308" s="136" t="s">
        <v>284</v>
      </c>
      <c r="B308" s="115"/>
      <c r="C308" s="139"/>
      <c r="D308" s="89"/>
      <c r="E308" s="89"/>
      <c r="F308" s="89"/>
      <c r="G308" s="89"/>
    </row>
    <row r="309" spans="1:7" ht="12" customHeight="1" x14ac:dyDescent="0.25">
      <c r="A309" s="136"/>
      <c r="B309" s="115"/>
      <c r="C309" s="139"/>
      <c r="D309" s="89"/>
      <c r="E309" s="89"/>
      <c r="F309" s="89"/>
      <c r="G309" s="89"/>
    </row>
    <row r="310" spans="1:7" ht="12" customHeight="1" x14ac:dyDescent="0.25">
      <c r="A310" s="88" t="s">
        <v>307</v>
      </c>
      <c r="B310" s="171"/>
      <c r="C310" s="89"/>
      <c r="D310" s="89"/>
      <c r="E310" s="89"/>
      <c r="F310" s="89"/>
      <c r="G310" s="89"/>
    </row>
    <row r="311" spans="1:7" ht="12" customHeight="1" x14ac:dyDescent="0.25">
      <c r="A311" s="89"/>
      <c r="B311" s="171"/>
      <c r="C311" s="89"/>
      <c r="D311" s="89"/>
      <c r="E311" s="89"/>
      <c r="F311" s="89"/>
      <c r="G311" s="89"/>
    </row>
    <row r="312" spans="1:7" ht="12" customHeight="1" x14ac:dyDescent="0.25">
      <c r="A312" s="91" t="s">
        <v>38</v>
      </c>
      <c r="B312" s="171"/>
      <c r="C312" s="174">
        <v>0</v>
      </c>
      <c r="D312" s="89"/>
      <c r="E312" s="89"/>
      <c r="F312" s="89"/>
      <c r="G312" s="89"/>
    </row>
    <row r="313" spans="1:7" ht="12" customHeight="1" x14ac:dyDescent="0.25">
      <c r="A313" s="94" t="s">
        <v>37</v>
      </c>
      <c r="B313" s="171"/>
      <c r="C313" s="176">
        <v>21354984</v>
      </c>
      <c r="D313" s="187"/>
      <c r="E313" s="187"/>
      <c r="F313" s="187"/>
      <c r="G313" s="187"/>
    </row>
    <row r="314" spans="1:7" ht="12" customHeight="1" x14ac:dyDescent="0.25">
      <c r="A314" s="96" t="s">
        <v>184</v>
      </c>
      <c r="B314" s="171"/>
      <c r="C314" s="205">
        <f>SUM(C312:C313)</f>
        <v>21354984</v>
      </c>
      <c r="D314" s="187"/>
      <c r="E314" s="187"/>
      <c r="F314" s="187"/>
      <c r="G314" s="187"/>
    </row>
    <row r="315" spans="1:7" ht="12" customHeight="1" x14ac:dyDescent="0.25">
      <c r="A315" s="136"/>
      <c r="B315" s="115"/>
      <c r="C315" s="206"/>
      <c r="D315" s="187"/>
      <c r="E315" s="187"/>
      <c r="F315" s="187"/>
      <c r="G315" s="187"/>
    </row>
    <row r="316" spans="1:7" ht="12" customHeight="1" x14ac:dyDescent="0.25">
      <c r="A316" s="88" t="s">
        <v>302</v>
      </c>
      <c r="B316" s="89"/>
      <c r="C316" s="187"/>
      <c r="D316" s="187"/>
      <c r="E316" s="187"/>
      <c r="F316" s="187"/>
      <c r="G316" s="187"/>
    </row>
    <row r="317" spans="1:7" ht="12" customHeight="1" x14ac:dyDescent="0.25">
      <c r="A317" s="96"/>
      <c r="B317" s="89"/>
      <c r="C317" s="99" t="str">
        <f>$C$18</f>
        <v>2019 GRC P2 Sales TY 2020
(kWh)</v>
      </c>
      <c r="D317" s="187"/>
      <c r="E317" s="99" t="s">
        <v>174</v>
      </c>
      <c r="F317" s="99" t="s">
        <v>303</v>
      </c>
      <c r="G317" s="99" t="s">
        <v>304</v>
      </c>
    </row>
    <row r="318" spans="1:7" ht="12" customHeight="1" x14ac:dyDescent="0.25">
      <c r="A318" s="96"/>
      <c r="B318" s="89"/>
      <c r="C318" s="119"/>
      <c r="D318" s="187"/>
      <c r="E318" s="119"/>
      <c r="F318" s="119"/>
      <c r="G318" s="187"/>
    </row>
    <row r="319" spans="1:7" ht="12" customHeight="1" x14ac:dyDescent="0.25">
      <c r="A319" s="96" t="s">
        <v>10</v>
      </c>
      <c r="B319" s="89"/>
      <c r="C319" s="178">
        <v>6652988141.1181479</v>
      </c>
      <c r="D319" s="187"/>
      <c r="E319" s="180">
        <v>0.43391215773291392</v>
      </c>
      <c r="F319" s="189">
        <f>E319*C314</f>
        <v>9266187.1857918538</v>
      </c>
      <c r="G319" s="207">
        <f>F319/C319</f>
        <v>1.3927857662218099E-3</v>
      </c>
    </row>
    <row r="320" spans="1:7" ht="12" customHeight="1" x14ac:dyDescent="0.25">
      <c r="A320" s="96"/>
      <c r="B320" s="89"/>
      <c r="C320" s="178"/>
      <c r="D320" s="187"/>
      <c r="E320" s="180"/>
      <c r="F320" s="189"/>
      <c r="G320" s="207"/>
    </row>
    <row r="321" spans="1:7" ht="12" customHeight="1" x14ac:dyDescent="0.25">
      <c r="A321" s="96" t="s">
        <v>2</v>
      </c>
      <c r="B321" s="89"/>
      <c r="C321" s="178">
        <v>2200347912.2960796</v>
      </c>
      <c r="D321" s="187"/>
      <c r="E321" s="180">
        <v>0.10650485421470869</v>
      </c>
      <c r="F321" s="189">
        <f>E321*C314</f>
        <v>2274409.4576774365</v>
      </c>
      <c r="G321" s="207">
        <f>F321/C321</f>
        <v>1.0336590159072041E-3</v>
      </c>
    </row>
    <row r="322" spans="1:7" ht="12" customHeight="1" x14ac:dyDescent="0.25">
      <c r="A322" s="96"/>
      <c r="B322" s="89"/>
      <c r="C322" s="178"/>
      <c r="D322" s="187"/>
      <c r="E322" s="180"/>
      <c r="F322" s="189"/>
      <c r="G322" s="207"/>
    </row>
    <row r="323" spans="1:7" ht="12" customHeight="1" x14ac:dyDescent="0.25">
      <c r="A323" s="96" t="s">
        <v>9</v>
      </c>
      <c r="B323" s="89"/>
      <c r="C323" s="178">
        <v>9632944256.333025</v>
      </c>
      <c r="D323" s="187"/>
      <c r="E323" s="180">
        <v>0.44608913213241275</v>
      </c>
      <c r="F323" s="189">
        <f>E323*C314</f>
        <v>9526226.2792615592</v>
      </c>
      <c r="G323" s="207">
        <f>F323/C323</f>
        <v>9.8892156185775653E-4</v>
      </c>
    </row>
    <row r="324" spans="1:7" ht="12" customHeight="1" x14ac:dyDescent="0.25">
      <c r="A324" s="96"/>
      <c r="B324" s="89"/>
      <c r="C324" s="178"/>
      <c r="D324" s="187"/>
      <c r="E324" s="180"/>
      <c r="F324" s="189"/>
      <c r="G324" s="207"/>
    </row>
    <row r="325" spans="1:7" ht="12" customHeight="1" x14ac:dyDescent="0.25">
      <c r="A325" s="96" t="s">
        <v>8</v>
      </c>
      <c r="B325" s="89"/>
      <c r="C325" s="178">
        <v>329838223.38509023</v>
      </c>
      <c r="D325" s="187"/>
      <c r="E325" s="180">
        <v>1.0741638480086612E-2</v>
      </c>
      <c r="F325" s="189">
        <f>E325*C314</f>
        <v>229387.51787603393</v>
      </c>
      <c r="G325" s="207">
        <f>F325/C325</f>
        <v>6.9545462476076078E-4</v>
      </c>
    </row>
    <row r="326" spans="1:7" ht="12" customHeight="1" x14ac:dyDescent="0.25">
      <c r="A326" s="96"/>
      <c r="B326" s="89"/>
      <c r="C326" s="178"/>
      <c r="D326" s="187"/>
      <c r="E326" s="180"/>
      <c r="F326" s="189"/>
      <c r="G326" s="207"/>
    </row>
    <row r="327" spans="1:7" ht="12" customHeight="1" x14ac:dyDescent="0.25">
      <c r="A327" s="96" t="s">
        <v>0</v>
      </c>
      <c r="B327" s="89"/>
      <c r="C327" s="154">
        <v>85800427</v>
      </c>
      <c r="D327" s="187"/>
      <c r="E327" s="208">
        <v>2.7522174398781477E-3</v>
      </c>
      <c r="F327" s="191">
        <f>E327*C314</f>
        <v>58773.559393118805</v>
      </c>
      <c r="G327" s="209">
        <f>F327/C327</f>
        <v>6.8500311068520449E-4</v>
      </c>
    </row>
    <row r="328" spans="1:7" ht="12" customHeight="1" x14ac:dyDescent="0.25">
      <c r="A328" s="96"/>
      <c r="B328" s="89"/>
      <c r="C328" s="182"/>
      <c r="D328" s="187"/>
      <c r="E328" s="192"/>
      <c r="F328" s="189"/>
      <c r="G328" s="207"/>
    </row>
    <row r="329" spans="1:7" ht="12" customHeight="1" x14ac:dyDescent="0.25">
      <c r="A329" s="96" t="s">
        <v>7</v>
      </c>
      <c r="B329" s="89"/>
      <c r="C329" s="178">
        <f>SUM(C319:C327)</f>
        <v>18901918960.132343</v>
      </c>
      <c r="D329" s="187"/>
      <c r="E329" s="192">
        <f>SUM(E319:E327)</f>
        <v>1</v>
      </c>
      <c r="F329" s="177">
        <f>SUM(F319:F327)</f>
        <v>21354984</v>
      </c>
      <c r="G329" s="207">
        <f>F329/C329</f>
        <v>1.1297786243312982E-3</v>
      </c>
    </row>
    <row r="330" spans="1:7" ht="12" customHeight="1" x14ac:dyDescent="0.25">
      <c r="A330" s="96"/>
      <c r="B330" s="89"/>
      <c r="C330" s="101"/>
      <c r="D330" s="89"/>
      <c r="F330" s="114"/>
      <c r="G330" s="122"/>
    </row>
    <row r="331" spans="1:7" x14ac:dyDescent="0.25">
      <c r="A331" s="96"/>
      <c r="B331" s="89"/>
      <c r="C331" s="115"/>
      <c r="D331" s="89"/>
      <c r="E331" s="164"/>
      <c r="F331" s="104"/>
      <c r="G331" s="122"/>
    </row>
    <row r="332" spans="1:7" x14ac:dyDescent="0.25">
      <c r="A332" s="136" t="s">
        <v>305</v>
      </c>
      <c r="B332" s="89"/>
      <c r="C332" s="115"/>
      <c r="D332" s="89"/>
      <c r="E332" s="164"/>
      <c r="F332" s="104"/>
      <c r="G332" s="122"/>
    </row>
    <row r="333" spans="1:7" ht="15.75" thickBot="1" x14ac:dyDescent="0.3">
      <c r="A333" s="136"/>
      <c r="B333" s="89"/>
      <c r="C333" s="115"/>
      <c r="D333" s="89"/>
      <c r="E333" s="164"/>
      <c r="F333" s="104"/>
      <c r="G333" s="122"/>
    </row>
    <row r="334" spans="1:7" x14ac:dyDescent="0.25">
      <c r="A334" s="142" t="s">
        <v>203</v>
      </c>
      <c r="B334" s="143"/>
      <c r="C334" s="144"/>
    </row>
    <row r="335" spans="1:7" x14ac:dyDescent="0.25">
      <c r="A335" s="145"/>
      <c r="B335" s="91"/>
      <c r="C335" s="146"/>
    </row>
    <row r="336" spans="1:7" x14ac:dyDescent="0.25">
      <c r="A336" s="145" t="s">
        <v>204</v>
      </c>
      <c r="B336" s="91"/>
      <c r="C336" s="147">
        <f>SUM(E36,E73,G90,G107,H126,E170,F214,F255,E296,G319)</f>
        <v>1.2867317440206619E-2</v>
      </c>
      <c r="D336" s="148"/>
    </row>
    <row r="337" spans="1:4" x14ac:dyDescent="0.25">
      <c r="A337" s="145"/>
      <c r="B337" s="91"/>
      <c r="C337" s="147"/>
    </row>
    <row r="338" spans="1:4" x14ac:dyDescent="0.25">
      <c r="A338" s="145" t="s">
        <v>205</v>
      </c>
      <c r="B338" s="91"/>
      <c r="C338" s="147">
        <f>SUM(E38,E75,G92,G109,H128,E172,F216,F257,E298,G321)</f>
        <v>1.476211413659124E-2</v>
      </c>
      <c r="D338" s="148"/>
    </row>
    <row r="339" spans="1:4" x14ac:dyDescent="0.25">
      <c r="A339" s="145"/>
      <c r="B339" s="91"/>
      <c r="C339" s="147"/>
    </row>
    <row r="340" spans="1:4" x14ac:dyDescent="0.25">
      <c r="A340" s="145" t="s">
        <v>9</v>
      </c>
      <c r="B340" s="91"/>
      <c r="C340" s="147"/>
    </row>
    <row r="341" spans="1:4" x14ac:dyDescent="0.25">
      <c r="A341" s="149" t="s">
        <v>206</v>
      </c>
      <c r="B341" s="91"/>
      <c r="C341" s="147">
        <f>SUM(E40,E77,H111,H130,E174,F218,F259,E300,G323)</f>
        <v>1.3900990142386061E-2</v>
      </c>
      <c r="D341" s="148"/>
    </row>
    <row r="342" spans="1:4" x14ac:dyDescent="0.25">
      <c r="A342" s="149" t="s">
        <v>207</v>
      </c>
      <c r="B342" s="91"/>
      <c r="C342" s="150">
        <f>SUM(E218,E259)</f>
        <v>0</v>
      </c>
      <c r="D342" s="148"/>
    </row>
    <row r="343" spans="1:4" x14ac:dyDescent="0.25">
      <c r="A343" s="149" t="s">
        <v>208</v>
      </c>
      <c r="B343" s="91"/>
      <c r="C343" s="147">
        <f>SUM(E40,E77,H111,H130,E174,E300,G323)</f>
        <v>1.3900990142386061E-2</v>
      </c>
      <c r="D343" s="148"/>
    </row>
    <row r="344" spans="1:4" x14ac:dyDescent="0.25">
      <c r="A344" s="145"/>
      <c r="B344" s="91"/>
      <c r="C344" s="147"/>
    </row>
    <row r="345" spans="1:4" x14ac:dyDescent="0.25">
      <c r="A345" s="145" t="s">
        <v>209</v>
      </c>
      <c r="B345" s="91"/>
      <c r="C345" s="147">
        <f>SUM(E42,E79,G96,G113,H132,E176,F220,F261,E302,G325)</f>
        <v>1.3349866381366001E-2</v>
      </c>
      <c r="D345" s="148"/>
    </row>
    <row r="346" spans="1:4" x14ac:dyDescent="0.25">
      <c r="A346" s="145"/>
      <c r="B346" s="91"/>
      <c r="C346" s="147"/>
    </row>
    <row r="347" spans="1:4" x14ac:dyDescent="0.25">
      <c r="A347" s="145" t="s">
        <v>210</v>
      </c>
      <c r="B347" s="91"/>
      <c r="C347" s="147">
        <f>SUM(G98,G115,G134,F222,F263,G327)</f>
        <v>1.5608172819843555E-3</v>
      </c>
      <c r="D347" s="148"/>
    </row>
    <row r="348" spans="1:4" x14ac:dyDescent="0.25">
      <c r="A348" s="145"/>
      <c r="B348" s="91"/>
      <c r="C348" s="146"/>
    </row>
    <row r="349" spans="1:4" ht="15.75" thickBot="1" x14ac:dyDescent="0.3">
      <c r="A349" s="151" t="s">
        <v>211</v>
      </c>
      <c r="B349" s="152"/>
      <c r="C349" s="153">
        <f>SUM(E44,E81,G100,G117,G136,E178,F224,F265,E304,G329)</f>
        <v>1.3607359807993382E-2</v>
      </c>
      <c r="D349" s="148"/>
    </row>
  </sheetData>
  <mergeCells count="9">
    <mergeCell ref="A185:G185"/>
    <mergeCell ref="H212:I224"/>
    <mergeCell ref="H253:I265"/>
    <mergeCell ref="A1:G1"/>
    <mergeCell ref="A6:G6"/>
    <mergeCell ref="A2:G2"/>
    <mergeCell ref="A3:G3"/>
    <mergeCell ref="A85:G85"/>
    <mergeCell ref="A145:G145"/>
  </mergeCells>
  <pageMargins left="0.7" right="0.7" top="0.75" bottom="0.75" header="0.3" footer="0.3"/>
  <pageSetup scale="11" orientation="landscape" r:id="rId1"/>
  <rowBreaks count="2" manualBreakCount="2">
    <brk id="74" max="16383" man="1"/>
    <brk id="12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0DAC23-74EA-4966-95CA-94C11C3EA6F6}">
  <sheetPr>
    <pageSetUpPr fitToPage="1"/>
  </sheetPr>
  <dimension ref="A1:Q343"/>
  <sheetViews>
    <sheetView topLeftCell="A289" zoomScale="80" zoomScaleNormal="80" zoomScaleSheetLayoutView="80" workbookViewId="0">
      <selection activeCell="J264" sqref="J264"/>
    </sheetView>
  </sheetViews>
  <sheetFormatPr defaultColWidth="9.140625" defaultRowHeight="15" x14ac:dyDescent="0.25"/>
  <cols>
    <col min="1" max="1" width="35" style="86" customWidth="1"/>
    <col min="2" max="2" width="5.5703125" style="86" customWidth="1"/>
    <col min="3" max="3" width="28" style="86" bestFit="1" customWidth="1"/>
    <col min="4" max="4" width="10" style="86" bestFit="1" customWidth="1"/>
    <col min="5" max="5" width="22" style="86" bestFit="1" customWidth="1"/>
    <col min="6" max="6" width="19.85546875" style="86" bestFit="1" customWidth="1"/>
    <col min="7" max="7" width="17" style="86" customWidth="1"/>
    <col min="8" max="8" width="16.7109375" style="86" bestFit="1" customWidth="1"/>
    <col min="9" max="9" width="16.28515625" style="86" bestFit="1" customWidth="1"/>
    <col min="10" max="10" width="16.85546875" style="86" bestFit="1" customWidth="1"/>
    <col min="11" max="11" width="14.5703125" style="86" customWidth="1"/>
    <col min="12" max="12" width="15.85546875" style="86" bestFit="1" customWidth="1"/>
    <col min="13" max="13" width="18.85546875" style="86" bestFit="1" customWidth="1"/>
    <col min="14" max="14" width="10.5703125" style="86" bestFit="1" customWidth="1"/>
    <col min="15" max="15" width="10.28515625" style="86" bestFit="1" customWidth="1"/>
    <col min="16" max="16" width="17.85546875" style="86" bestFit="1" customWidth="1"/>
    <col min="17" max="16384" width="9.140625" style="86"/>
  </cols>
  <sheetData>
    <row r="1" spans="1:17" ht="15.75" x14ac:dyDescent="0.25">
      <c r="A1" s="240" t="s">
        <v>54</v>
      </c>
      <c r="B1" s="240"/>
      <c r="C1" s="240"/>
      <c r="D1" s="240"/>
      <c r="E1" s="240"/>
      <c r="F1" s="240"/>
      <c r="G1" s="240"/>
      <c r="I1" s="115"/>
      <c r="J1" s="104"/>
      <c r="K1" s="89"/>
      <c r="L1" s="89"/>
      <c r="M1" s="89"/>
      <c r="N1" s="89"/>
      <c r="O1" s="89"/>
      <c r="P1" s="89"/>
      <c r="Q1" s="89"/>
    </row>
    <row r="2" spans="1:17" ht="15.75" x14ac:dyDescent="0.25">
      <c r="A2" s="87"/>
      <c r="B2" s="87"/>
      <c r="C2" s="87"/>
      <c r="D2" s="87"/>
      <c r="E2" s="87"/>
      <c r="F2" s="87"/>
      <c r="G2" s="87"/>
      <c r="I2" s="89"/>
      <c r="J2" s="89"/>
      <c r="K2" s="89"/>
      <c r="L2" s="89"/>
      <c r="M2" s="89"/>
      <c r="N2" s="89"/>
      <c r="O2" s="89"/>
      <c r="P2" s="89"/>
      <c r="Q2" s="89"/>
    </row>
    <row r="3" spans="1:17" ht="15.75" x14ac:dyDescent="0.25">
      <c r="A3" s="88" t="s">
        <v>53</v>
      </c>
      <c r="B3" s="87"/>
      <c r="C3" s="89"/>
      <c r="D3" s="87"/>
      <c r="E3" s="89"/>
      <c r="F3" s="89"/>
      <c r="G3" s="89"/>
      <c r="H3" s="90"/>
      <c r="I3" s="90"/>
      <c r="J3" s="90"/>
    </row>
    <row r="4" spans="1:17" ht="15.75" x14ac:dyDescent="0.25">
      <c r="A4" s="89"/>
      <c r="B4" s="87"/>
      <c r="C4" s="89"/>
      <c r="D4" s="87"/>
      <c r="E4" s="89"/>
      <c r="F4" s="89"/>
      <c r="G4" s="89"/>
      <c r="H4" s="90"/>
      <c r="I4" s="90"/>
      <c r="J4" s="90"/>
    </row>
    <row r="5" spans="1:17" ht="15.75" x14ac:dyDescent="0.25">
      <c r="A5" s="91" t="s">
        <v>278</v>
      </c>
      <c r="B5" s="87"/>
      <c r="C5" s="175">
        <v>115112231</v>
      </c>
      <c r="D5" s="171"/>
      <c r="E5" s="91"/>
      <c r="F5" s="187"/>
      <c r="G5" s="92"/>
      <c r="H5" s="87"/>
      <c r="I5" s="90"/>
      <c r="J5" s="90"/>
    </row>
    <row r="6" spans="1:17" ht="15.75" hidden="1" x14ac:dyDescent="0.25">
      <c r="A6" s="91"/>
      <c r="B6" s="87"/>
      <c r="C6" s="175"/>
      <c r="D6" s="171"/>
      <c r="E6" s="91"/>
      <c r="F6" s="187"/>
      <c r="G6" s="210"/>
      <c r="H6" s="87"/>
      <c r="I6" s="90"/>
      <c r="J6" s="90"/>
    </row>
    <row r="7" spans="1:17" ht="15.75" x14ac:dyDescent="0.25">
      <c r="A7" s="94" t="s">
        <v>37</v>
      </c>
      <c r="B7" s="87"/>
      <c r="C7" s="176">
        <v>9000000</v>
      </c>
      <c r="D7" s="171"/>
      <c r="E7" s="91"/>
      <c r="F7" s="187"/>
      <c r="G7" s="95"/>
      <c r="H7" s="87"/>
      <c r="I7" s="90"/>
      <c r="J7" s="90"/>
    </row>
    <row r="8" spans="1:17" ht="15.75" x14ac:dyDescent="0.25">
      <c r="A8" s="96" t="s">
        <v>51</v>
      </c>
      <c r="B8" s="87"/>
      <c r="C8" s="205">
        <f>SUM(C5:C7)</f>
        <v>124112231</v>
      </c>
      <c r="D8" s="171"/>
      <c r="E8" s="187"/>
      <c r="F8" s="187"/>
      <c r="G8" s="187"/>
      <c r="H8" s="90"/>
      <c r="I8" s="90"/>
      <c r="J8" s="90"/>
    </row>
    <row r="9" spans="1:17" ht="15.75" x14ac:dyDescent="0.25">
      <c r="A9" s="96"/>
      <c r="B9" s="87"/>
      <c r="C9" s="187"/>
      <c r="D9" s="171"/>
      <c r="E9" s="187"/>
      <c r="F9" s="187"/>
      <c r="G9" s="187"/>
      <c r="H9" s="90"/>
      <c r="I9" s="90"/>
      <c r="J9" s="90"/>
    </row>
    <row r="10" spans="1:17" ht="15.75" x14ac:dyDescent="0.25">
      <c r="A10" s="91"/>
      <c r="B10" s="87"/>
      <c r="C10" s="211"/>
      <c r="D10" s="171"/>
      <c r="E10" s="187"/>
      <c r="F10" s="187"/>
      <c r="G10" s="187"/>
      <c r="H10" s="90"/>
      <c r="I10" s="90"/>
      <c r="J10" s="90"/>
    </row>
    <row r="11" spans="1:17" ht="15.75" x14ac:dyDescent="0.25">
      <c r="A11" s="88"/>
      <c r="B11" s="87"/>
      <c r="C11" s="187"/>
      <c r="D11" s="171"/>
      <c r="E11" s="187"/>
      <c r="F11" s="187"/>
      <c r="G11" s="187"/>
      <c r="H11" s="90"/>
      <c r="I11" s="90"/>
      <c r="J11" s="90"/>
    </row>
    <row r="12" spans="1:17" ht="15.75" x14ac:dyDescent="0.25">
      <c r="A12" s="88" t="s">
        <v>50</v>
      </c>
      <c r="B12" s="87"/>
      <c r="C12" s="187"/>
      <c r="D12" s="171"/>
      <c r="E12" s="187"/>
      <c r="F12" s="187"/>
      <c r="G12" s="187"/>
      <c r="H12" s="90"/>
      <c r="I12" s="90"/>
      <c r="J12" s="90"/>
    </row>
    <row r="13" spans="1:17" ht="39" x14ac:dyDescent="0.25">
      <c r="A13" s="96"/>
      <c r="B13" s="87"/>
      <c r="C13" s="99" t="s">
        <v>306</v>
      </c>
      <c r="D13" s="171"/>
      <c r="E13" s="99" t="s">
        <v>49</v>
      </c>
      <c r="F13" s="99" t="s">
        <v>48</v>
      </c>
      <c r="G13" s="99" t="s">
        <v>174</v>
      </c>
      <c r="H13" s="90"/>
      <c r="I13" s="90"/>
      <c r="J13" s="90"/>
    </row>
    <row r="14" spans="1:17" ht="12" customHeight="1" x14ac:dyDescent="0.25">
      <c r="A14" s="96"/>
      <c r="B14" s="87"/>
      <c r="C14" s="187"/>
      <c r="D14" s="171"/>
      <c r="E14" s="187"/>
      <c r="F14" s="187"/>
      <c r="G14" s="187"/>
      <c r="H14" s="90"/>
      <c r="I14" s="90"/>
      <c r="J14" s="90"/>
    </row>
    <row r="15" spans="1:17" ht="12" customHeight="1" x14ac:dyDescent="0.25">
      <c r="A15" s="96" t="s">
        <v>10</v>
      </c>
      <c r="B15" s="87"/>
      <c r="C15" s="178">
        <v>6824347300.4717379</v>
      </c>
      <c r="D15" s="171"/>
      <c r="E15" s="178">
        <v>1017031805.9190587</v>
      </c>
      <c r="F15" s="179">
        <f>C15-E15</f>
        <v>5807315494.5526791</v>
      </c>
      <c r="G15" s="180">
        <v>0.32469012958724708</v>
      </c>
      <c r="H15" s="21"/>
      <c r="I15" s="90"/>
    </row>
    <row r="16" spans="1:17" ht="12" customHeight="1" x14ac:dyDescent="0.25">
      <c r="A16" s="96"/>
      <c r="B16" s="87"/>
      <c r="C16" s="178"/>
      <c r="D16" s="171"/>
      <c r="E16" s="181"/>
      <c r="F16" s="179"/>
      <c r="G16" s="180"/>
      <c r="H16" s="22"/>
      <c r="I16" s="23"/>
    </row>
    <row r="17" spans="1:13" ht="12" customHeight="1" x14ac:dyDescent="0.25">
      <c r="A17" s="96" t="s">
        <v>2</v>
      </c>
      <c r="B17" s="87"/>
      <c r="C17" s="178">
        <v>2281540064.3074284</v>
      </c>
      <c r="D17" s="171"/>
      <c r="E17" s="178">
        <v>2245116.7008786984</v>
      </c>
      <c r="F17" s="179">
        <f>C17-E17</f>
        <v>2279294947.6065497</v>
      </c>
      <c r="G17" s="180">
        <v>0.11911757788890198</v>
      </c>
      <c r="H17" s="21"/>
      <c r="I17" s="22"/>
    </row>
    <row r="18" spans="1:13" ht="12" customHeight="1" x14ac:dyDescent="0.25">
      <c r="A18" s="96"/>
      <c r="B18" s="87"/>
      <c r="C18" s="178"/>
      <c r="D18" s="171"/>
      <c r="E18" s="178"/>
      <c r="F18" s="179"/>
      <c r="G18" s="180"/>
      <c r="H18" s="21"/>
      <c r="I18" s="22"/>
    </row>
    <row r="19" spans="1:13" ht="12" customHeight="1" x14ac:dyDescent="0.25">
      <c r="A19" s="96" t="s">
        <v>9</v>
      </c>
      <c r="B19" s="87"/>
      <c r="C19" s="178">
        <v>9547826937.2094955</v>
      </c>
      <c r="D19" s="171"/>
      <c r="E19" s="178">
        <v>14909881.589093516</v>
      </c>
      <c r="F19" s="179">
        <f>C19-E19</f>
        <v>9532917055.6204014</v>
      </c>
      <c r="G19" s="180">
        <v>0.5397275811009683</v>
      </c>
      <c r="H19" s="21"/>
      <c r="I19" s="22"/>
      <c r="K19" s="1"/>
      <c r="L19" s="5" t="s">
        <v>47</v>
      </c>
      <c r="M19" s="5" t="s">
        <v>46</v>
      </c>
    </row>
    <row r="20" spans="1:13" ht="12" customHeight="1" x14ac:dyDescent="0.25">
      <c r="A20" s="96"/>
      <c r="B20" s="87"/>
      <c r="C20" s="178"/>
      <c r="D20" s="171"/>
      <c r="E20" s="179"/>
      <c r="F20" s="179"/>
      <c r="G20" s="180"/>
      <c r="H20" s="24"/>
      <c r="I20" s="23"/>
      <c r="K20" s="1" t="s">
        <v>45</v>
      </c>
      <c r="L20" s="3">
        <f>C31+C68+F85+F102+F121+C165+C209+C250+C291+F313</f>
        <v>93926291.262259915</v>
      </c>
      <c r="M20" s="4">
        <f>L20/$L$25</f>
        <v>0.37698470996427319</v>
      </c>
    </row>
    <row r="21" spans="1:13" ht="12" customHeight="1" x14ac:dyDescent="0.25">
      <c r="A21" s="96" t="s">
        <v>8</v>
      </c>
      <c r="B21" s="87"/>
      <c r="C21" s="178">
        <v>335163783.59592795</v>
      </c>
      <c r="D21" s="171"/>
      <c r="E21" s="182"/>
      <c r="F21" s="179">
        <f>C21</f>
        <v>335163783.59592795</v>
      </c>
      <c r="G21" s="180">
        <v>1.6464711422882472E-2</v>
      </c>
      <c r="H21" s="21"/>
      <c r="I21" s="22"/>
      <c r="K21" s="1" t="s">
        <v>2</v>
      </c>
      <c r="L21" s="3">
        <f>C33+C70+F87+F104+F123+C167+C211+C252+C293+F315</f>
        <v>28747530.367066365</v>
      </c>
      <c r="M21" s="4">
        <f>L21/$L$25</f>
        <v>0.11538174511072351</v>
      </c>
    </row>
    <row r="22" spans="1:13" ht="12" customHeight="1" x14ac:dyDescent="0.25">
      <c r="A22" s="89"/>
      <c r="B22" s="87"/>
      <c r="C22" s="178"/>
      <c r="D22" s="171"/>
      <c r="E22" s="182"/>
      <c r="F22" s="179"/>
      <c r="G22" s="183"/>
      <c r="H22" s="24"/>
      <c r="I22" s="22"/>
      <c r="K22" s="1" t="s">
        <v>44</v>
      </c>
      <c r="L22" s="3">
        <f>C35+C72+F89+F106+F125+C169+C213+C254+C295+F317</f>
        <v>122712252.44584939</v>
      </c>
      <c r="M22" s="4">
        <f>L22/$L$25</f>
        <v>0.49252070187880376</v>
      </c>
    </row>
    <row r="23" spans="1:13" ht="12" customHeight="1" x14ac:dyDescent="0.25">
      <c r="A23" s="89" t="s">
        <v>0</v>
      </c>
      <c r="B23" s="87"/>
      <c r="C23" s="154">
        <v>79987055</v>
      </c>
      <c r="D23" s="171"/>
      <c r="E23" s="199"/>
      <c r="F23" s="204">
        <v>0</v>
      </c>
      <c r="G23" s="190">
        <v>0</v>
      </c>
      <c r="H23" s="22"/>
      <c r="I23" s="22"/>
      <c r="K23" s="1" t="s">
        <v>1</v>
      </c>
      <c r="L23" s="3">
        <f>C37+C74+F91+F108+F127+C171+C215+C256+C297+F319</f>
        <v>3570707.1529794075</v>
      </c>
      <c r="M23" s="4">
        <f>L23/$L$25</f>
        <v>1.4331471863130708E-2</v>
      </c>
    </row>
    <row r="24" spans="1:13" ht="12" customHeight="1" x14ac:dyDescent="0.25">
      <c r="A24" s="89"/>
      <c r="B24" s="87"/>
      <c r="C24" s="89"/>
      <c r="D24" s="171"/>
      <c r="E24" s="89"/>
      <c r="F24" s="89"/>
      <c r="G24" s="102"/>
      <c r="H24" s="90"/>
      <c r="I24" s="90"/>
      <c r="K24" s="1" t="s">
        <v>43</v>
      </c>
      <c r="L24" s="40">
        <f>F93+F110+F129+F157+C217+C258+F321</f>
        <v>194679.77184490245</v>
      </c>
      <c r="M24" s="4">
        <f>L24/$L$25</f>
        <v>7.8137118306885012E-4</v>
      </c>
    </row>
    <row r="25" spans="1:13" ht="12" customHeight="1" x14ac:dyDescent="0.25">
      <c r="A25" s="89" t="s">
        <v>34</v>
      </c>
      <c r="B25" s="87"/>
      <c r="C25" s="100">
        <f>SUM(C15:C23)</f>
        <v>19068865140.584591</v>
      </c>
      <c r="D25" s="103" t="s">
        <v>33</v>
      </c>
      <c r="E25" s="100">
        <f>SUM(E15:E23)</f>
        <v>1034186804.209031</v>
      </c>
      <c r="F25" s="100">
        <f>SUM(F15:F23)</f>
        <v>17954691281.375561</v>
      </c>
      <c r="G25" s="102">
        <f>SUM(G15:G21)</f>
        <v>0.99999999999999978</v>
      </c>
      <c r="H25" s="90"/>
      <c r="I25" s="90"/>
      <c r="K25" s="1" t="s">
        <v>7</v>
      </c>
      <c r="L25" s="3">
        <f>SUM(L20:L24)</f>
        <v>249151460.99999997</v>
      </c>
      <c r="M25" s="1"/>
    </row>
    <row r="26" spans="1:13" ht="12" customHeight="1" x14ac:dyDescent="0.25">
      <c r="A26" s="89"/>
      <c r="B26" s="87"/>
      <c r="C26" s="89"/>
      <c r="D26" s="171"/>
      <c r="E26" s="89"/>
      <c r="H26" s="90"/>
      <c r="I26" s="90"/>
    </row>
    <row r="27" spans="1:13" ht="12" customHeight="1" x14ac:dyDescent="0.25">
      <c r="A27" s="89"/>
      <c r="B27" s="87"/>
      <c r="C27" s="89"/>
      <c r="D27" s="171"/>
      <c r="E27" s="89"/>
      <c r="F27" s="25"/>
      <c r="G27" s="165"/>
      <c r="H27" s="90"/>
      <c r="I27" s="90"/>
      <c r="K27" s="159"/>
      <c r="L27" s="169"/>
    </row>
    <row r="28" spans="1:13" ht="12" customHeight="1" x14ac:dyDescent="0.25">
      <c r="A28" s="88" t="s">
        <v>42</v>
      </c>
      <c r="B28" s="87"/>
      <c r="C28" s="89"/>
      <c r="D28" s="87"/>
      <c r="E28" s="89"/>
      <c r="F28" s="89"/>
      <c r="G28" s="89"/>
      <c r="H28" s="90"/>
      <c r="I28" s="90"/>
    </row>
    <row r="29" spans="1:13" ht="39" x14ac:dyDescent="0.25">
      <c r="A29" s="89"/>
      <c r="B29" s="89"/>
      <c r="C29" s="99" t="s">
        <v>41</v>
      </c>
      <c r="D29" s="105"/>
      <c r="E29" s="99" t="s">
        <v>40</v>
      </c>
      <c r="F29" s="89"/>
      <c r="G29" s="89"/>
    </row>
    <row r="30" spans="1:13" ht="12" customHeight="1" x14ac:dyDescent="0.25">
      <c r="A30" s="89"/>
      <c r="B30" s="89"/>
      <c r="C30" s="103"/>
      <c r="D30" s="103"/>
      <c r="E30" s="103"/>
      <c r="F30" s="89"/>
      <c r="G30" s="106"/>
    </row>
    <row r="31" spans="1:13" ht="12" customHeight="1" x14ac:dyDescent="0.25">
      <c r="A31" s="89" t="s">
        <v>10</v>
      </c>
      <c r="B31" s="89"/>
      <c r="C31" s="107">
        <f>$C$8*G15</f>
        <v>40298016.366752341</v>
      </c>
      <c r="D31" s="103"/>
      <c r="E31" s="108">
        <f>C31/F15</f>
        <v>6.9391815210577577E-3</v>
      </c>
      <c r="F31" s="89"/>
      <c r="G31" s="109"/>
    </row>
    <row r="32" spans="1:13" ht="12" customHeight="1" x14ac:dyDescent="0.25">
      <c r="A32" s="89"/>
      <c r="B32" s="89"/>
      <c r="C32" s="107"/>
      <c r="D32" s="103"/>
      <c r="E32" s="108"/>
      <c r="F32" s="89"/>
      <c r="G32" s="89"/>
    </row>
    <row r="33" spans="1:10" ht="12" customHeight="1" x14ac:dyDescent="0.25">
      <c r="A33" s="89" t="s">
        <v>2</v>
      </c>
      <c r="B33" s="89"/>
      <c r="C33" s="107">
        <f>$C$8*G17</f>
        <v>14783948.343107896</v>
      </c>
      <c r="D33" s="103"/>
      <c r="E33" s="108">
        <f>C33/F17</f>
        <v>6.4861936181766552E-3</v>
      </c>
      <c r="F33" s="89"/>
      <c r="G33" s="89"/>
    </row>
    <row r="34" spans="1:10" ht="12" customHeight="1" x14ac:dyDescent="0.25">
      <c r="A34" s="89"/>
      <c r="B34" s="89"/>
      <c r="C34" s="107"/>
      <c r="D34" s="103"/>
      <c r="E34" s="110"/>
      <c r="F34" s="89"/>
      <c r="G34" s="89"/>
    </row>
    <row r="35" spans="1:10" ht="12" customHeight="1" x14ac:dyDescent="0.25">
      <c r="A35" s="89" t="s">
        <v>9</v>
      </c>
      <c r="B35" s="89"/>
      <c r="C35" s="107">
        <f>$C$8*G19</f>
        <v>66986794.222674616</v>
      </c>
      <c r="D35" s="103"/>
      <c r="E35" s="108">
        <f>C35/F19</f>
        <v>7.0268936393588629E-3</v>
      </c>
      <c r="F35" s="89"/>
      <c r="G35" s="89"/>
    </row>
    <row r="36" spans="1:10" ht="12" customHeight="1" x14ac:dyDescent="0.25">
      <c r="A36" s="89"/>
      <c r="B36" s="89"/>
      <c r="C36" s="107"/>
      <c r="D36" s="103"/>
      <c r="E36" s="108"/>
      <c r="F36" s="89"/>
      <c r="G36" s="89"/>
    </row>
    <row r="37" spans="1:10" ht="12" customHeight="1" x14ac:dyDescent="0.25">
      <c r="A37" s="89" t="s">
        <v>8</v>
      </c>
      <c r="B37" s="89"/>
      <c r="C37" s="111">
        <f>$C$8*G21</f>
        <v>2043472.0674651281</v>
      </c>
      <c r="D37" s="103"/>
      <c r="E37" s="112">
        <f>C37/F21</f>
        <v>6.0969357892460404E-3</v>
      </c>
      <c r="F37" s="89"/>
      <c r="G37" s="89"/>
    </row>
    <row r="38" spans="1:10" ht="12" customHeight="1" x14ac:dyDescent="0.25">
      <c r="A38" s="89"/>
      <c r="B38" s="89"/>
      <c r="C38" s="107"/>
      <c r="D38" s="103"/>
      <c r="E38" s="108"/>
      <c r="F38" s="89"/>
      <c r="G38" s="89"/>
    </row>
    <row r="39" spans="1:10" ht="12" customHeight="1" x14ac:dyDescent="0.25">
      <c r="A39" s="96" t="s">
        <v>29</v>
      </c>
      <c r="B39" s="89"/>
      <c r="C39" s="107">
        <f>SUM(C31:C38)</f>
        <v>124112230.99999997</v>
      </c>
      <c r="D39" s="103"/>
      <c r="E39" s="113">
        <f>C39/F25</f>
        <v>6.9125238109073953E-3</v>
      </c>
      <c r="F39" s="89"/>
      <c r="G39" s="89"/>
    </row>
    <row r="40" spans="1:10" ht="12" customHeight="1" x14ac:dyDescent="0.25">
      <c r="A40" s="89"/>
      <c r="B40" s="87"/>
      <c r="C40" s="89"/>
      <c r="D40" s="87"/>
      <c r="E40" s="89"/>
      <c r="F40" s="26"/>
      <c r="G40" s="114"/>
      <c r="H40" s="90"/>
      <c r="I40" s="90"/>
      <c r="J40" s="90"/>
    </row>
    <row r="41" spans="1:10" ht="12" customHeight="1" x14ac:dyDescent="0.25">
      <c r="A41" s="115"/>
      <c r="B41" s="115"/>
      <c r="C41" s="104"/>
      <c r="D41" s="89"/>
      <c r="E41" s="89"/>
      <c r="F41" s="89"/>
      <c r="G41" s="89"/>
    </row>
    <row r="42" spans="1:10" ht="12" customHeight="1" x14ac:dyDescent="0.25">
      <c r="A42" s="89"/>
      <c r="B42" s="89"/>
      <c r="C42" s="89"/>
      <c r="D42" s="89"/>
      <c r="E42" s="89"/>
      <c r="F42" s="89"/>
      <c r="G42" s="89"/>
    </row>
    <row r="43" spans="1:10" ht="15.75" customHeight="1" x14ac:dyDescent="0.25">
      <c r="A43" s="88" t="s">
        <v>39</v>
      </c>
      <c r="B43" s="89"/>
      <c r="C43" s="89"/>
      <c r="D43" s="89"/>
      <c r="E43" s="89"/>
      <c r="F43" s="89"/>
      <c r="G43" s="89"/>
    </row>
    <row r="44" spans="1:10" x14ac:dyDescent="0.25">
      <c r="A44" s="89"/>
      <c r="B44" s="89"/>
      <c r="C44" s="89"/>
      <c r="D44" s="89"/>
      <c r="E44" s="89"/>
      <c r="F44" s="89"/>
      <c r="G44" s="89"/>
    </row>
    <row r="45" spans="1:10" x14ac:dyDescent="0.25">
      <c r="A45" s="91" t="s">
        <v>38</v>
      </c>
      <c r="B45" s="89"/>
      <c r="C45" s="185">
        <v>15145043</v>
      </c>
      <c r="D45" s="187"/>
      <c r="E45" s="187"/>
      <c r="F45" s="187"/>
      <c r="G45" s="89"/>
    </row>
    <row r="46" spans="1:10" x14ac:dyDescent="0.25">
      <c r="A46" s="116" t="s">
        <v>37</v>
      </c>
      <c r="B46" s="89"/>
      <c r="C46" s="186">
        <v>-2000000</v>
      </c>
      <c r="D46" s="187"/>
      <c r="E46" s="187"/>
      <c r="F46" s="187"/>
      <c r="G46" s="89"/>
    </row>
    <row r="47" spans="1:10" x14ac:dyDescent="0.25">
      <c r="A47" s="91" t="s">
        <v>36</v>
      </c>
      <c r="B47" s="89"/>
      <c r="C47" s="198">
        <f>SUM(C45:C46)</f>
        <v>13145043</v>
      </c>
      <c r="D47" s="187"/>
      <c r="E47" s="187"/>
      <c r="F47" s="187"/>
      <c r="G47" s="89"/>
    </row>
    <row r="48" spans="1:10" x14ac:dyDescent="0.25">
      <c r="A48" s="89"/>
      <c r="B48" s="89"/>
      <c r="C48" s="187"/>
      <c r="D48" s="187"/>
      <c r="E48" s="187"/>
      <c r="F48" s="187"/>
      <c r="G48" s="89"/>
    </row>
    <row r="49" spans="1:16" x14ac:dyDescent="0.25">
      <c r="A49" s="89"/>
      <c r="B49" s="89"/>
      <c r="C49" s="187"/>
      <c r="D49" s="187"/>
      <c r="E49" s="187"/>
      <c r="F49" s="187"/>
      <c r="G49" s="89"/>
    </row>
    <row r="50" spans="1:16" ht="39" customHeight="1" x14ac:dyDescent="0.25">
      <c r="A50" s="89"/>
      <c r="B50" s="89"/>
      <c r="C50" s="99" t="str">
        <f>$C$13</f>
        <v>2019 Sales Forecast
(kWh)</v>
      </c>
      <c r="D50" s="105"/>
      <c r="E50" s="99" t="s">
        <v>35</v>
      </c>
      <c r="F50" s="99" t="s">
        <v>174</v>
      </c>
      <c r="G50" s="89"/>
      <c r="I50" s="90"/>
      <c r="J50" s="90"/>
      <c r="K50" s="90"/>
      <c r="L50" s="90"/>
      <c r="M50" s="90"/>
      <c r="N50" s="90"/>
      <c r="O50" s="90"/>
      <c r="P50" s="90"/>
    </row>
    <row r="51" spans="1:16" ht="15.75" x14ac:dyDescent="0.25">
      <c r="A51" s="89"/>
      <c r="B51" s="89"/>
      <c r="C51" s="187"/>
      <c r="D51" s="187"/>
      <c r="E51" s="187"/>
      <c r="F51" s="212"/>
      <c r="G51" s="89"/>
      <c r="I51" s="90"/>
      <c r="J51" s="90"/>
      <c r="K51" s="90"/>
      <c r="L51" s="90"/>
      <c r="M51" s="90"/>
      <c r="N51" s="90"/>
      <c r="O51" s="90"/>
      <c r="P51" s="90"/>
    </row>
    <row r="52" spans="1:16" ht="15.75" x14ac:dyDescent="0.25">
      <c r="A52" s="89" t="s">
        <v>10</v>
      </c>
      <c r="B52" s="89"/>
      <c r="C52" s="178">
        <v>6824347300.4717379</v>
      </c>
      <c r="D52" s="187"/>
      <c r="E52" s="179">
        <f>C52</f>
        <v>6824347300.4717379</v>
      </c>
      <c r="F52" s="180">
        <v>0.36151633453219451</v>
      </c>
      <c r="G52" s="89"/>
      <c r="I52" s="90"/>
      <c r="J52" s="90"/>
      <c r="K52" s="90"/>
      <c r="L52" s="90"/>
      <c r="M52" s="90"/>
      <c r="N52" s="90"/>
      <c r="O52" s="90"/>
      <c r="P52" s="90"/>
    </row>
    <row r="53" spans="1:16" ht="15.75" x14ac:dyDescent="0.25">
      <c r="A53" s="89"/>
      <c r="B53" s="89"/>
      <c r="C53" s="178"/>
      <c r="D53" s="187"/>
      <c r="E53" s="179"/>
      <c r="F53" s="183"/>
      <c r="G53" s="89"/>
      <c r="I53" s="90"/>
      <c r="J53" s="90"/>
      <c r="K53" s="90"/>
      <c r="L53" s="90"/>
      <c r="M53" s="90"/>
      <c r="N53" s="90"/>
      <c r="O53" s="90"/>
      <c r="P53" s="90"/>
    </row>
    <row r="54" spans="1:16" ht="15.75" x14ac:dyDescent="0.25">
      <c r="A54" s="89" t="s">
        <v>2</v>
      </c>
      <c r="B54" s="89"/>
      <c r="C54" s="178">
        <v>2281540064.3074284</v>
      </c>
      <c r="D54" s="187"/>
      <c r="E54" s="179">
        <f>C54</f>
        <v>2281540064.3074284</v>
      </c>
      <c r="F54" s="180">
        <v>0.11259841004657432</v>
      </c>
      <c r="G54" s="89"/>
      <c r="I54" s="90"/>
      <c r="J54" s="90"/>
      <c r="K54" s="90"/>
      <c r="L54" s="90"/>
      <c r="M54" s="90"/>
      <c r="N54" s="90"/>
      <c r="O54" s="90"/>
      <c r="P54" s="90"/>
    </row>
    <row r="55" spans="1:16" ht="15.75" x14ac:dyDescent="0.25">
      <c r="A55" s="89"/>
      <c r="B55" s="89"/>
      <c r="C55" s="178"/>
      <c r="D55" s="187"/>
      <c r="E55" s="179"/>
      <c r="F55" s="183"/>
      <c r="G55" s="89"/>
      <c r="I55" s="90"/>
      <c r="J55" s="90"/>
      <c r="K55" s="90"/>
      <c r="L55" s="90"/>
      <c r="M55" s="90"/>
      <c r="N55" s="90"/>
      <c r="O55" s="90"/>
      <c r="P55" s="90"/>
    </row>
    <row r="56" spans="1:16" ht="15.75" x14ac:dyDescent="0.25">
      <c r="A56" s="89" t="s">
        <v>9</v>
      </c>
      <c r="B56" s="89"/>
      <c r="C56" s="178">
        <v>9547826937.2094955</v>
      </c>
      <c r="D56" s="187"/>
      <c r="E56" s="179">
        <f>C56</f>
        <v>9547826937.2094955</v>
      </c>
      <c r="F56" s="180">
        <v>0.51034146250338597</v>
      </c>
      <c r="G56" s="89"/>
      <c r="I56" s="90"/>
      <c r="J56" s="90"/>
      <c r="K56" s="90"/>
      <c r="L56" s="90"/>
      <c r="M56" s="90"/>
      <c r="N56" s="90"/>
      <c r="O56" s="90"/>
      <c r="P56" s="90"/>
    </row>
    <row r="57" spans="1:16" ht="15.75" x14ac:dyDescent="0.25">
      <c r="A57" s="89"/>
      <c r="B57" s="89"/>
      <c r="C57" s="178"/>
      <c r="D57" s="187"/>
      <c r="E57" s="179"/>
      <c r="F57" s="183"/>
      <c r="G57" s="89"/>
      <c r="I57" s="90"/>
      <c r="J57" s="90"/>
      <c r="K57" s="90"/>
      <c r="L57" s="90"/>
      <c r="M57" s="90"/>
      <c r="N57" s="90"/>
      <c r="O57" s="90"/>
      <c r="P57" s="90"/>
    </row>
    <row r="58" spans="1:16" ht="15.75" x14ac:dyDescent="0.25">
      <c r="A58" s="89" t="s">
        <v>8</v>
      </c>
      <c r="B58" s="89"/>
      <c r="C58" s="178">
        <v>335163783.59592795</v>
      </c>
      <c r="D58" s="187"/>
      <c r="E58" s="179">
        <f>C58</f>
        <v>335163783.59592795</v>
      </c>
      <c r="F58" s="180">
        <v>1.5543792917845268E-2</v>
      </c>
      <c r="G58" s="89"/>
      <c r="I58" s="90"/>
      <c r="J58" s="90"/>
      <c r="K58" s="90"/>
      <c r="L58" s="90"/>
      <c r="M58" s="90"/>
      <c r="N58" s="90"/>
      <c r="O58" s="90"/>
      <c r="P58" s="90"/>
    </row>
    <row r="59" spans="1:16" ht="15.75" x14ac:dyDescent="0.25">
      <c r="A59" s="89"/>
      <c r="B59" s="89"/>
      <c r="C59" s="178"/>
      <c r="D59" s="187"/>
      <c r="E59" s="179"/>
      <c r="F59" s="183"/>
      <c r="G59" s="89"/>
      <c r="I59" s="90"/>
      <c r="J59" s="90"/>
      <c r="K59" s="90"/>
      <c r="L59" s="90"/>
      <c r="M59" s="90"/>
      <c r="N59" s="90"/>
      <c r="O59" s="90"/>
      <c r="P59" s="90"/>
    </row>
    <row r="60" spans="1:16" ht="15.75" x14ac:dyDescent="0.25">
      <c r="A60" s="89" t="s">
        <v>0</v>
      </c>
      <c r="B60" s="89"/>
      <c r="C60" s="154">
        <v>79987055</v>
      </c>
      <c r="D60" s="187"/>
      <c r="E60" s="204">
        <v>0</v>
      </c>
      <c r="F60" s="190">
        <v>0</v>
      </c>
      <c r="G60" s="89"/>
      <c r="I60" s="90"/>
      <c r="J60" s="90"/>
      <c r="K60" s="90"/>
      <c r="L60" s="90"/>
      <c r="M60" s="90"/>
      <c r="N60" s="90"/>
      <c r="O60" s="90"/>
      <c r="P60" s="90"/>
    </row>
    <row r="61" spans="1:16" ht="15.75" x14ac:dyDescent="0.25">
      <c r="A61" s="89"/>
      <c r="B61" s="89"/>
      <c r="C61" s="89"/>
      <c r="D61" s="89"/>
      <c r="E61" s="89"/>
      <c r="F61" s="102"/>
      <c r="G61" s="89"/>
      <c r="I61" s="90"/>
      <c r="J61" s="90"/>
      <c r="K61" s="90"/>
      <c r="L61" s="90"/>
      <c r="M61" s="90"/>
      <c r="N61" s="90"/>
      <c r="O61" s="90"/>
      <c r="P61" s="90"/>
    </row>
    <row r="62" spans="1:16" ht="15.75" x14ac:dyDescent="0.25">
      <c r="A62" s="89" t="s">
        <v>34</v>
      </c>
      <c r="B62" s="89"/>
      <c r="C62" s="100">
        <f>SUM(C52:C60)</f>
        <v>19068865140.584591</v>
      </c>
      <c r="D62" s="103" t="s">
        <v>33</v>
      </c>
      <c r="E62" s="100">
        <f>SUM(E52:E60)</f>
        <v>18988878085.584591</v>
      </c>
      <c r="F62" s="102">
        <f>SUM(F52:F60)</f>
        <v>1</v>
      </c>
      <c r="G62" s="89"/>
      <c r="I62" s="90"/>
      <c r="J62" s="90"/>
      <c r="K62" s="90"/>
      <c r="L62" s="90"/>
      <c r="M62" s="90"/>
      <c r="N62" s="90"/>
      <c r="O62" s="90"/>
      <c r="P62" s="90"/>
    </row>
    <row r="63" spans="1:16" ht="15.75" x14ac:dyDescent="0.25">
      <c r="A63" s="89"/>
      <c r="B63" s="89"/>
      <c r="C63" s="89"/>
      <c r="D63" s="89"/>
      <c r="G63" s="89"/>
      <c r="I63" s="90"/>
      <c r="J63" s="90"/>
      <c r="K63" s="90"/>
      <c r="L63" s="90"/>
      <c r="M63" s="90"/>
      <c r="N63" s="90"/>
      <c r="O63" s="90"/>
      <c r="P63" s="90"/>
    </row>
    <row r="64" spans="1:16" ht="15.75" x14ac:dyDescent="0.25">
      <c r="A64" s="89"/>
      <c r="B64" s="89"/>
      <c r="C64" s="89"/>
      <c r="D64" s="89"/>
      <c r="E64" s="25"/>
      <c r="F64" s="165"/>
      <c r="G64" s="89"/>
      <c r="I64" s="90"/>
      <c r="J64" s="90"/>
      <c r="K64" s="90"/>
      <c r="L64" s="90"/>
      <c r="M64" s="90"/>
      <c r="N64" s="90"/>
      <c r="O64" s="90"/>
      <c r="P64" s="90"/>
    </row>
    <row r="65" spans="1:7" x14ac:dyDescent="0.25">
      <c r="A65" s="88" t="s">
        <v>32</v>
      </c>
      <c r="B65" s="89"/>
      <c r="C65" s="89"/>
      <c r="D65" s="89"/>
      <c r="E65" s="89"/>
      <c r="F65" s="89"/>
      <c r="G65" s="89"/>
    </row>
    <row r="66" spans="1:7" ht="39" x14ac:dyDescent="0.25">
      <c r="A66" s="89"/>
      <c r="B66" s="89"/>
      <c r="C66" s="99" t="s">
        <v>31</v>
      </c>
      <c r="D66" s="105"/>
      <c r="E66" s="99" t="s">
        <v>30</v>
      </c>
      <c r="F66" s="89"/>
      <c r="G66" s="89"/>
    </row>
    <row r="67" spans="1:7" x14ac:dyDescent="0.25">
      <c r="A67" s="89"/>
      <c r="B67" s="89"/>
      <c r="C67" s="89"/>
      <c r="D67" s="89"/>
      <c r="E67" s="89"/>
      <c r="F67" s="106"/>
      <c r="G67" s="89"/>
    </row>
    <row r="68" spans="1:7" x14ac:dyDescent="0.25">
      <c r="A68" s="89" t="s">
        <v>10</v>
      </c>
      <c r="B68" s="89"/>
      <c r="C68" s="117">
        <f>$C$47*F52</f>
        <v>4752147.7626280813</v>
      </c>
      <c r="D68" s="103"/>
      <c r="E68" s="108">
        <f>C68/E52</f>
        <v>6.9635198113372483E-4</v>
      </c>
      <c r="F68" s="109"/>
      <c r="G68" s="89"/>
    </row>
    <row r="69" spans="1:7" x14ac:dyDescent="0.25">
      <c r="A69" s="89"/>
      <c r="B69" s="89"/>
      <c r="C69" s="107"/>
      <c r="D69" s="103"/>
      <c r="E69" s="108"/>
      <c r="F69" s="89"/>
      <c r="G69" s="89"/>
    </row>
    <row r="70" spans="1:7" x14ac:dyDescent="0.25">
      <c r="A70" s="89" t="s">
        <v>2</v>
      </c>
      <c r="B70" s="89"/>
      <c r="C70" s="107">
        <f>$C$47*F54</f>
        <v>1480110.9417938516</v>
      </c>
      <c r="D70" s="103"/>
      <c r="E70" s="108">
        <f>C70/E54</f>
        <v>6.4873326791355112E-4</v>
      </c>
      <c r="F70" s="89"/>
      <c r="G70" s="89"/>
    </row>
    <row r="71" spans="1:7" x14ac:dyDescent="0.25">
      <c r="A71" s="89"/>
      <c r="B71" s="89"/>
      <c r="C71" s="107"/>
      <c r="D71" s="103"/>
      <c r="E71" s="108"/>
      <c r="F71" s="89"/>
      <c r="G71" s="89"/>
    </row>
    <row r="72" spans="1:7" x14ac:dyDescent="0.25">
      <c r="A72" s="89" t="s">
        <v>9</v>
      </c>
      <c r="B72" s="89"/>
      <c r="C72" s="117">
        <f>$C$47*F56</f>
        <v>6708460.4692898961</v>
      </c>
      <c r="D72" s="103"/>
      <c r="E72" s="108">
        <f>C72/E56</f>
        <v>7.0261647109939667E-4</v>
      </c>
      <c r="F72" s="89"/>
      <c r="G72" s="89"/>
    </row>
    <row r="73" spans="1:7" x14ac:dyDescent="0.25">
      <c r="A73" s="89"/>
      <c r="B73" s="89"/>
      <c r="C73" s="107"/>
      <c r="D73" s="103"/>
      <c r="E73" s="108"/>
      <c r="F73" s="89"/>
      <c r="G73" s="89"/>
    </row>
    <row r="74" spans="1:7" x14ac:dyDescent="0.25">
      <c r="A74" s="89" t="s">
        <v>8</v>
      </c>
      <c r="B74" s="89"/>
      <c r="C74" s="118">
        <f>$C$47*F58</f>
        <v>204323.82628817152</v>
      </c>
      <c r="D74" s="103"/>
      <c r="E74" s="112">
        <f>C74/E58</f>
        <v>6.0962382061691806E-4</v>
      </c>
      <c r="F74" s="89"/>
      <c r="G74" s="89"/>
    </row>
    <row r="75" spans="1:7" x14ac:dyDescent="0.25">
      <c r="A75" s="89"/>
      <c r="B75" s="89"/>
      <c r="C75" s="107"/>
      <c r="D75" s="103"/>
      <c r="E75" s="108"/>
      <c r="F75" s="89"/>
      <c r="G75" s="89"/>
    </row>
    <row r="76" spans="1:7" x14ac:dyDescent="0.25">
      <c r="A76" s="96" t="s">
        <v>29</v>
      </c>
      <c r="B76" s="89"/>
      <c r="C76" s="107">
        <f>SUM(C68:C74)</f>
        <v>13145043</v>
      </c>
      <c r="D76" s="103"/>
      <c r="E76" s="108">
        <f>C76/E62</f>
        <v>6.9224958635018361E-4</v>
      </c>
      <c r="F76" s="89"/>
      <c r="G76" s="89"/>
    </row>
    <row r="77" spans="1:7" x14ac:dyDescent="0.25">
      <c r="F77" s="89"/>
      <c r="G77" s="89"/>
    </row>
    <row r="78" spans="1:7" x14ac:dyDescent="0.25">
      <c r="A78" s="115"/>
      <c r="B78" s="115"/>
      <c r="C78" s="104"/>
      <c r="D78" s="89"/>
      <c r="E78" s="89"/>
      <c r="F78" s="89"/>
      <c r="G78" s="89"/>
    </row>
    <row r="79" spans="1:7" x14ac:dyDescent="0.25">
      <c r="D79" s="89"/>
      <c r="E79" s="89"/>
      <c r="F79" s="89"/>
      <c r="G79" s="89"/>
    </row>
    <row r="80" spans="1:7" ht="15.75" x14ac:dyDescent="0.25">
      <c r="A80" s="240" t="s">
        <v>28</v>
      </c>
      <c r="B80" s="240"/>
      <c r="C80" s="240"/>
      <c r="D80" s="240"/>
      <c r="E80" s="240"/>
      <c r="F80" s="240"/>
      <c r="G80" s="240"/>
    </row>
    <row r="81" spans="1:10" x14ac:dyDescent="0.25">
      <c r="A81" s="89"/>
      <c r="B81" s="89"/>
      <c r="C81" s="89"/>
      <c r="D81" s="89"/>
      <c r="E81" s="89"/>
      <c r="F81" s="89"/>
      <c r="G81" s="89"/>
    </row>
    <row r="82" spans="1:10" ht="15.75" customHeight="1" x14ac:dyDescent="0.25">
      <c r="A82" s="88" t="s">
        <v>27</v>
      </c>
      <c r="B82" s="89"/>
      <c r="C82" s="89"/>
      <c r="D82" s="89"/>
      <c r="E82" s="89"/>
      <c r="F82" s="89"/>
      <c r="G82" s="89"/>
    </row>
    <row r="83" spans="1:10" ht="56.25" customHeight="1" x14ac:dyDescent="0.25">
      <c r="A83" s="96"/>
      <c r="B83" s="89"/>
      <c r="C83" s="99" t="str">
        <f>$C$13</f>
        <v>2019 Sales Forecast
(kWh)</v>
      </c>
      <c r="D83" s="89"/>
      <c r="E83" s="99" t="s">
        <v>174</v>
      </c>
      <c r="F83" s="99" t="s">
        <v>26</v>
      </c>
      <c r="G83" s="99" t="s">
        <v>25</v>
      </c>
    </row>
    <row r="84" spans="1:10" x14ac:dyDescent="0.25">
      <c r="A84" s="96"/>
      <c r="B84" s="89"/>
      <c r="C84" s="119"/>
      <c r="D84" s="89"/>
      <c r="E84" s="119"/>
      <c r="F84" s="119"/>
      <c r="G84" s="89"/>
    </row>
    <row r="85" spans="1:10" x14ac:dyDescent="0.25">
      <c r="A85" s="96" t="s">
        <v>10</v>
      </c>
      <c r="B85" s="89"/>
      <c r="C85" s="178">
        <v>6824347300.4717379</v>
      </c>
      <c r="D85" s="187"/>
      <c r="E85" s="180">
        <v>0.35991938342165714</v>
      </c>
      <c r="F85" s="189">
        <f>E85*F$95</f>
        <v>5859487.5621045781</v>
      </c>
      <c r="G85" s="207">
        <f>F85/C85</f>
        <v>8.5861508861067735E-4</v>
      </c>
      <c r="H85" s="28"/>
      <c r="J85" s="120"/>
    </row>
    <row r="86" spans="1:10" x14ac:dyDescent="0.25">
      <c r="A86" s="96"/>
      <c r="B86" s="89"/>
      <c r="C86" s="178"/>
      <c r="D86" s="187"/>
      <c r="E86" s="180"/>
      <c r="F86" s="189"/>
      <c r="G86" s="207"/>
      <c r="H86" s="28"/>
    </row>
    <row r="87" spans="1:10" x14ac:dyDescent="0.25">
      <c r="A87" s="96" t="s">
        <v>2</v>
      </c>
      <c r="B87" s="89"/>
      <c r="C87" s="178">
        <v>2281540064.3074284</v>
      </c>
      <c r="D87" s="187"/>
      <c r="E87" s="180">
        <v>0.1121010213014674</v>
      </c>
      <c r="F87" s="189">
        <f>E87*F$95</f>
        <v>1825004.6267878893</v>
      </c>
      <c r="G87" s="207">
        <f>F87/C87</f>
        <v>7.9990031967371023E-4</v>
      </c>
      <c r="H87" s="28"/>
      <c r="J87" s="120"/>
    </row>
    <row r="88" spans="1:10" x14ac:dyDescent="0.25">
      <c r="A88" s="96"/>
      <c r="B88" s="89"/>
      <c r="C88" s="178"/>
      <c r="D88" s="187"/>
      <c r="E88" s="180"/>
      <c r="F88" s="189"/>
      <c r="G88" s="207"/>
      <c r="H88" s="28"/>
    </row>
    <row r="89" spans="1:10" x14ac:dyDescent="0.25">
      <c r="A89" s="96" t="s">
        <v>9</v>
      </c>
      <c r="B89" s="89"/>
      <c r="C89" s="178">
        <v>9547826937.2094955</v>
      </c>
      <c r="D89" s="187"/>
      <c r="E89" s="180">
        <v>0.50808709586085887</v>
      </c>
      <c r="F89" s="189">
        <f>E89*F$95</f>
        <v>8271657.9206147827</v>
      </c>
      <c r="G89" s="207">
        <f>F89/C89</f>
        <v>8.6633932255084491E-4</v>
      </c>
      <c r="H89" s="28"/>
      <c r="J89" s="120"/>
    </row>
    <row r="90" spans="1:10" x14ac:dyDescent="0.25">
      <c r="A90" s="96"/>
      <c r="B90" s="89"/>
      <c r="C90" s="178"/>
      <c r="D90" s="187"/>
      <c r="E90" s="180"/>
      <c r="F90" s="189"/>
      <c r="G90" s="207"/>
      <c r="H90" s="28"/>
    </row>
    <row r="91" spans="1:10" x14ac:dyDescent="0.25">
      <c r="A91" s="96" t="s">
        <v>8</v>
      </c>
      <c r="B91" s="89"/>
      <c r="C91" s="178">
        <v>335163783.59592795</v>
      </c>
      <c r="D91" s="187"/>
      <c r="E91" s="180">
        <v>1.5475130246228404E-2</v>
      </c>
      <c r="F91" s="189">
        <f>E91*F$95</f>
        <v>251935.12040859842</v>
      </c>
      <c r="G91" s="207">
        <f>F91/C91</f>
        <v>7.5167763564911404E-4</v>
      </c>
      <c r="H91" s="28"/>
      <c r="J91" s="120"/>
    </row>
    <row r="92" spans="1:10" x14ac:dyDescent="0.25">
      <c r="A92" s="96"/>
      <c r="B92" s="89"/>
      <c r="C92" s="178"/>
      <c r="D92" s="187"/>
      <c r="E92" s="180"/>
      <c r="F92" s="189"/>
      <c r="G92" s="207"/>
      <c r="H92" s="28"/>
    </row>
    <row r="93" spans="1:10" x14ac:dyDescent="0.25">
      <c r="A93" s="96" t="s">
        <v>0</v>
      </c>
      <c r="B93" s="89"/>
      <c r="C93" s="154">
        <v>79987055</v>
      </c>
      <c r="D93" s="187"/>
      <c r="E93" s="190">
        <v>4.4173691697880326E-3</v>
      </c>
      <c r="F93" s="191">
        <f>E93*F$95</f>
        <v>71914.770084149175</v>
      </c>
      <c r="G93" s="209">
        <f>F93/C93</f>
        <v>8.9908010845191359E-4</v>
      </c>
      <c r="H93" s="28"/>
      <c r="J93" s="120"/>
    </row>
    <row r="94" spans="1:10" x14ac:dyDescent="0.25">
      <c r="A94" s="96"/>
      <c r="B94" s="89"/>
      <c r="C94" s="182"/>
      <c r="D94" s="187"/>
      <c r="E94" s="192"/>
      <c r="F94" s="189"/>
      <c r="G94" s="207"/>
      <c r="H94" s="28"/>
    </row>
    <row r="95" spans="1:10" x14ac:dyDescent="0.25">
      <c r="A95" s="96" t="s">
        <v>7</v>
      </c>
      <c r="B95" s="89"/>
      <c r="C95" s="179">
        <f>SUM(C85:C93)</f>
        <v>19068865140.584591</v>
      </c>
      <c r="D95" s="187"/>
      <c r="E95" s="192">
        <f>SUM(E85:E93)</f>
        <v>0.99999999999999989</v>
      </c>
      <c r="F95" s="177">
        <v>16280000</v>
      </c>
      <c r="G95" s="207">
        <f>F95/C95</f>
        <v>8.5374771282801718E-4</v>
      </c>
      <c r="I95" s="30"/>
      <c r="J95" s="30"/>
    </row>
    <row r="96" spans="1:10" x14ac:dyDescent="0.25">
      <c r="A96" s="96"/>
      <c r="B96" s="89"/>
      <c r="C96" s="101"/>
      <c r="D96" s="89"/>
      <c r="F96" s="114"/>
      <c r="G96" s="122"/>
    </row>
    <row r="97" spans="1:16" x14ac:dyDescent="0.25">
      <c r="A97" s="96"/>
      <c r="B97" s="89"/>
      <c r="C97" s="115"/>
      <c r="D97" s="89"/>
      <c r="E97" s="165"/>
      <c r="F97" s="104"/>
      <c r="G97" s="122"/>
    </row>
    <row r="98" spans="1:16" x14ac:dyDescent="0.25">
      <c r="A98" s="96"/>
      <c r="B98" s="89"/>
      <c r="C98" s="89"/>
      <c r="D98" s="89"/>
      <c r="E98" s="89"/>
      <c r="F98" s="89"/>
      <c r="G98" s="122"/>
    </row>
    <row r="99" spans="1:16" ht="15.75" customHeight="1" x14ac:dyDescent="0.25">
      <c r="A99" s="88" t="s">
        <v>24</v>
      </c>
      <c r="B99" s="89"/>
      <c r="C99" s="89"/>
      <c r="D99" s="89"/>
      <c r="E99" s="89"/>
      <c r="F99" s="89"/>
      <c r="G99" s="89"/>
    </row>
    <row r="100" spans="1:16" ht="51.75" x14ac:dyDescent="0.25">
      <c r="A100" s="96"/>
      <c r="B100" s="89"/>
      <c r="C100" s="99" t="str">
        <f>$C$13</f>
        <v>2019 Sales Forecast
(kWh)</v>
      </c>
      <c r="D100" s="89"/>
      <c r="E100" s="99" t="s">
        <v>174</v>
      </c>
      <c r="F100" s="99" t="s">
        <v>23</v>
      </c>
      <c r="G100" s="99" t="s">
        <v>22</v>
      </c>
      <c r="H100" s="99" t="s">
        <v>21</v>
      </c>
      <c r="I100" s="123" t="s">
        <v>20</v>
      </c>
      <c r="J100" s="99" t="s">
        <v>16</v>
      </c>
      <c r="K100" s="123" t="s">
        <v>19</v>
      </c>
      <c r="L100" s="99" t="s">
        <v>18</v>
      </c>
      <c r="M100" s="116"/>
      <c r="N100" s="116"/>
      <c r="O100" s="124" t="s">
        <v>17</v>
      </c>
      <c r="P100" s="99" t="s">
        <v>15</v>
      </c>
    </row>
    <row r="101" spans="1:16" x14ac:dyDescent="0.25">
      <c r="A101" s="96"/>
      <c r="B101" s="89"/>
      <c r="C101" s="119"/>
      <c r="D101" s="89"/>
      <c r="E101" s="119"/>
      <c r="F101" s="119"/>
      <c r="G101" s="122"/>
      <c r="J101" s="125"/>
      <c r="L101" s="125"/>
    </row>
    <row r="102" spans="1:16" x14ac:dyDescent="0.25">
      <c r="A102" s="96" t="s">
        <v>10</v>
      </c>
      <c r="B102" s="89"/>
      <c r="C102" s="178">
        <v>6824347300.4717379</v>
      </c>
      <c r="D102" s="187"/>
      <c r="E102" s="180">
        <v>0.46049962911213632</v>
      </c>
      <c r="F102" s="189">
        <f>E102*F$112</f>
        <v>-5986495.1784577724</v>
      </c>
      <c r="G102" s="207">
        <f>F102/C102</f>
        <v>-8.7722604300105762E-4</v>
      </c>
      <c r="H102" s="207">
        <f>G85+G102</f>
        <v>-1.861095439038027E-5</v>
      </c>
      <c r="I102" s="193">
        <v>3.0599999999999998E-3</v>
      </c>
      <c r="J102" s="213">
        <f>H102-I102</f>
        <v>-3.0786109543903799E-3</v>
      </c>
      <c r="K102" s="214">
        <f>IF(J102&lt;0,0,J102*C102)</f>
        <v>0</v>
      </c>
      <c r="L102" s="215">
        <f>IF(K102=0,F102,0)</f>
        <v>-5986495.1784577724</v>
      </c>
      <c r="M102" s="216">
        <f>IF(K102=0,IFERROR((L102/L$112),0),0)</f>
        <v>0.46049962911213632</v>
      </c>
      <c r="N102" s="217">
        <f>IF(K102=0,(K$112*M102)/C102,0)</f>
        <v>0</v>
      </c>
      <c r="O102" s="218">
        <f>IF((H102+N102)&gt;I102,I102,(H102+N102))</f>
        <v>-1.861095439038027E-5</v>
      </c>
      <c r="P102" s="219">
        <f>N102*C102</f>
        <v>0</v>
      </c>
    </row>
    <row r="103" spans="1:16" x14ac:dyDescent="0.25">
      <c r="A103" s="96"/>
      <c r="B103" s="89"/>
      <c r="C103" s="178"/>
      <c r="D103" s="187"/>
      <c r="E103" s="180"/>
      <c r="F103" s="189"/>
      <c r="G103" s="207"/>
      <c r="H103" s="207"/>
      <c r="I103" s="194"/>
      <c r="J103" s="213"/>
      <c r="K103" s="197"/>
      <c r="L103" s="215"/>
      <c r="M103" s="216"/>
      <c r="N103" s="197"/>
      <c r="O103" s="218"/>
      <c r="P103" s="197"/>
    </row>
    <row r="104" spans="1:16" x14ac:dyDescent="0.25">
      <c r="A104" s="96" t="s">
        <v>2</v>
      </c>
      <c r="B104" s="89"/>
      <c r="C104" s="178">
        <v>2281540064.3074284</v>
      </c>
      <c r="D104" s="187"/>
      <c r="E104" s="180">
        <v>0.11302169887200222</v>
      </c>
      <c r="F104" s="189">
        <f>E104*F$112</f>
        <v>-1469282.0853360288</v>
      </c>
      <c r="G104" s="207">
        <f>F104/C104</f>
        <v>-6.4398697543014045E-4</v>
      </c>
      <c r="H104" s="207">
        <f>G87+G104</f>
        <v>1.5591334424356978E-4</v>
      </c>
      <c r="I104" s="195">
        <v>3.2200000000000002E-3</v>
      </c>
      <c r="J104" s="213">
        <f>H104-I104</f>
        <v>-3.0640866557564306E-3</v>
      </c>
      <c r="K104" s="214">
        <f>IF(J104&lt;0,0,J104*C104)</f>
        <v>0</v>
      </c>
      <c r="L104" s="215">
        <f>IF(K104=0,F104,0)</f>
        <v>-1469282.0853360288</v>
      </c>
      <c r="M104" s="216">
        <f>IF(K104=0,IFERROR((L104/L$112),0),0)</f>
        <v>0.11302169887200222</v>
      </c>
      <c r="N104" s="217">
        <f>IF(K104=0,(K$112*M104)/C104,0)</f>
        <v>0</v>
      </c>
      <c r="O104" s="218">
        <f>IF((H104+N104)&gt;I104,I104,(H104+N104))</f>
        <v>1.5591334424356978E-4</v>
      </c>
      <c r="P104" s="219">
        <f>N104*C104</f>
        <v>0</v>
      </c>
    </row>
    <row r="105" spans="1:16" x14ac:dyDescent="0.25">
      <c r="A105" s="96"/>
      <c r="B105" s="89"/>
      <c r="C105" s="178"/>
      <c r="D105" s="187"/>
      <c r="E105" s="180"/>
      <c r="F105" s="189"/>
      <c r="G105" s="207"/>
      <c r="H105" s="207"/>
      <c r="I105" s="194"/>
      <c r="J105" s="213"/>
      <c r="K105" s="197"/>
      <c r="L105" s="215"/>
      <c r="M105" s="216"/>
      <c r="N105" s="197"/>
      <c r="O105" s="218"/>
      <c r="P105" s="197"/>
    </row>
    <row r="106" spans="1:16" x14ac:dyDescent="0.25">
      <c r="A106" s="96" t="s">
        <v>9</v>
      </c>
      <c r="B106" s="89"/>
      <c r="C106" s="178">
        <v>9547826937.2094955</v>
      </c>
      <c r="D106" s="187"/>
      <c r="E106" s="180">
        <v>0.41445398809380962</v>
      </c>
      <c r="F106" s="189">
        <f>E106*F$112</f>
        <v>-5387901.8452195255</v>
      </c>
      <c r="G106" s="207">
        <f>F106/C106</f>
        <v>-5.6430660931043499E-4</v>
      </c>
      <c r="H106" s="207">
        <f>G89+G106</f>
        <v>3.0203271324040991E-4</v>
      </c>
      <c r="I106" s="195">
        <v>2.5600000000000002E-3</v>
      </c>
      <c r="J106" s="213">
        <f>H106-I106</f>
        <v>-2.2579672867595905E-3</v>
      </c>
      <c r="K106" s="214">
        <f>IF(J106&lt;0,0,J106*C106)</f>
        <v>0</v>
      </c>
      <c r="L106" s="215">
        <f>IF(K106=0,F106,0)</f>
        <v>-5387901.8452195255</v>
      </c>
      <c r="M106" s="216">
        <f>IF(K106=0,IFERROR((L106/L$112),0),0)</f>
        <v>0.41445398809380968</v>
      </c>
      <c r="N106" s="217">
        <f>IF(K106=0,(K$112*M106)/C106,0)</f>
        <v>0</v>
      </c>
      <c r="O106" s="218">
        <f>IF((H106+N106)&gt;I106,I106,(H106+N106))</f>
        <v>3.0203271324040991E-4</v>
      </c>
      <c r="P106" s="219">
        <f>N106*C106</f>
        <v>0</v>
      </c>
    </row>
    <row r="107" spans="1:16" x14ac:dyDescent="0.25">
      <c r="A107" s="96"/>
      <c r="B107" s="89"/>
      <c r="C107" s="178"/>
      <c r="D107" s="187"/>
      <c r="E107" s="180"/>
      <c r="F107" s="189"/>
      <c r="G107" s="207"/>
      <c r="H107" s="207"/>
      <c r="I107" s="194"/>
      <c r="J107" s="213"/>
      <c r="K107" s="197"/>
      <c r="L107" s="215"/>
      <c r="M107" s="216"/>
      <c r="N107" s="217"/>
      <c r="O107" s="218"/>
      <c r="P107" s="197"/>
    </row>
    <row r="108" spans="1:16" x14ac:dyDescent="0.25">
      <c r="A108" s="96" t="s">
        <v>8</v>
      </c>
      <c r="B108" s="89"/>
      <c r="C108" s="178">
        <v>335163783.59592795</v>
      </c>
      <c r="D108" s="187"/>
      <c r="E108" s="180">
        <v>1.118062872431484E-2</v>
      </c>
      <c r="F108" s="189">
        <f>E108*F$112</f>
        <v>-145348.17341609293</v>
      </c>
      <c r="G108" s="207">
        <f>F108/C108</f>
        <v>-4.3366312391115644E-4</v>
      </c>
      <c r="H108" s="207">
        <f>G91+G108</f>
        <v>3.180145117379576E-4</v>
      </c>
      <c r="I108" s="195">
        <v>3.4099999999999998E-3</v>
      </c>
      <c r="J108" s="213">
        <f>H108-I108</f>
        <v>-3.0919854882620421E-3</v>
      </c>
      <c r="K108" s="214">
        <f>IF(J108&lt;0,0,J108*C108)</f>
        <v>0</v>
      </c>
      <c r="L108" s="215">
        <f>IF(K108=0,F108,0)</f>
        <v>-145348.17341609293</v>
      </c>
      <c r="M108" s="216">
        <f>IF(K108=0,IFERROR((L108/L$112),0),0)</f>
        <v>1.118062872431484E-2</v>
      </c>
      <c r="N108" s="217">
        <f>IF(K108=0,(K$112*M108)/C108,0)</f>
        <v>0</v>
      </c>
      <c r="O108" s="218">
        <f>IF((H108+N108)&gt;I108,I108,(H108+N108))</f>
        <v>3.180145117379576E-4</v>
      </c>
      <c r="P108" s="219">
        <f>N108*C108</f>
        <v>0</v>
      </c>
    </row>
    <row r="109" spans="1:16" x14ac:dyDescent="0.25">
      <c r="A109" s="96"/>
      <c r="B109" s="89"/>
      <c r="C109" s="178"/>
      <c r="D109" s="187"/>
      <c r="E109" s="180"/>
      <c r="F109" s="189"/>
      <c r="G109" s="207"/>
      <c r="H109" s="207"/>
      <c r="I109" s="194"/>
      <c r="J109" s="213"/>
      <c r="K109" s="197"/>
      <c r="L109" s="215"/>
      <c r="M109" s="216"/>
      <c r="N109" s="217"/>
      <c r="O109" s="218"/>
      <c r="P109" s="197"/>
    </row>
    <row r="110" spans="1:16" x14ac:dyDescent="0.25">
      <c r="A110" s="96" t="s">
        <v>0</v>
      </c>
      <c r="B110" s="89"/>
      <c r="C110" s="154">
        <v>79987055</v>
      </c>
      <c r="D110" s="187"/>
      <c r="E110" s="190">
        <v>8.4405519773694078E-4</v>
      </c>
      <c r="F110" s="191">
        <f>E110*F$112</f>
        <v>-10972.717570580229</v>
      </c>
      <c r="G110" s="209">
        <f>F110/C110</f>
        <v>-1.371811672598801E-4</v>
      </c>
      <c r="H110" s="209">
        <f>G93+G110</f>
        <v>7.6189894119203349E-4</v>
      </c>
      <c r="I110" s="196">
        <v>3.79E-3</v>
      </c>
      <c r="J110" s="220">
        <f>H110-I110</f>
        <v>-3.0281010588079664E-3</v>
      </c>
      <c r="K110" s="221">
        <f>IF(J110&lt;0,0,J110*C110)</f>
        <v>0</v>
      </c>
      <c r="L110" s="191">
        <f>IF(K110=0,F110,0)</f>
        <v>-10972.717570580229</v>
      </c>
      <c r="M110" s="222">
        <f>IF(K110=0,IFERROR((L110/L$112),0),0)</f>
        <v>8.4405519773694067E-4</v>
      </c>
      <c r="N110" s="223">
        <f>IF(K110=0,(K$112*M110)/C110,0)</f>
        <v>0</v>
      </c>
      <c r="O110" s="224">
        <f>IF((H110+N110)&gt;I110,I110,(H110+N110))</f>
        <v>7.6189894119203349E-4</v>
      </c>
      <c r="P110" s="225">
        <f>N110*C110</f>
        <v>0</v>
      </c>
    </row>
    <row r="111" spans="1:16" x14ac:dyDescent="0.25">
      <c r="A111" s="96"/>
      <c r="B111" s="89"/>
      <c r="C111" s="182"/>
      <c r="D111" s="187"/>
      <c r="E111" s="192"/>
      <c r="F111" s="189"/>
      <c r="G111" s="207"/>
      <c r="H111" s="207"/>
      <c r="I111" s="194"/>
      <c r="J111" s="213"/>
      <c r="K111" s="197"/>
      <c r="L111" s="215"/>
      <c r="M111" s="216"/>
      <c r="N111" s="197"/>
      <c r="O111" s="218"/>
      <c r="P111" s="197"/>
    </row>
    <row r="112" spans="1:16" x14ac:dyDescent="0.25">
      <c r="A112" s="96" t="s">
        <v>7</v>
      </c>
      <c r="B112" s="89"/>
      <c r="C112" s="170">
        <f>SUM(C102:C110)</f>
        <v>19068865140.584591</v>
      </c>
      <c r="D112" s="187"/>
      <c r="E112" s="192">
        <f>SUM(E102:E110)</f>
        <v>0.99999999999999989</v>
      </c>
      <c r="F112" s="177">
        <v>-13000000</v>
      </c>
      <c r="G112" s="207">
        <f>F112/C112</f>
        <v>-6.8173957412556653E-4</v>
      </c>
      <c r="H112" s="207">
        <f>G95+G112</f>
        <v>1.7200813870245065E-4</v>
      </c>
      <c r="I112" s="196">
        <v>2.8300000000000001E-3</v>
      </c>
      <c r="J112" s="213">
        <f>H112-I112</f>
        <v>-2.6579918612975495E-3</v>
      </c>
      <c r="K112" s="214">
        <f>SUM(K102:K110)</f>
        <v>0</v>
      </c>
      <c r="L112" s="226">
        <f>SUM(L102:L110)</f>
        <v>-13000000</v>
      </c>
      <c r="M112" s="216">
        <f>IF(K112=0,IFERROR((L112/L$112),0),0)</f>
        <v>1</v>
      </c>
      <c r="N112" s="217">
        <f>(K$112*M112)/C112</f>
        <v>0</v>
      </c>
      <c r="O112" s="218">
        <f>IF((H112+N112)&gt;I112,I112,(H112+N112))</f>
        <v>1.7200813870245065E-4</v>
      </c>
      <c r="P112" s="219">
        <f>SUM(P102:P110)</f>
        <v>0</v>
      </c>
    </row>
    <row r="113" spans="1:8" x14ac:dyDescent="0.25">
      <c r="A113" s="96"/>
      <c r="B113" s="89"/>
      <c r="C113" s="89"/>
      <c r="D113" s="89"/>
      <c r="E113" s="89"/>
      <c r="F113" s="114"/>
      <c r="G113" s="122"/>
    </row>
    <row r="114" spans="1:8" x14ac:dyDescent="0.25">
      <c r="A114" s="96"/>
      <c r="B114" s="89"/>
      <c r="C114" s="115"/>
      <c r="D114" s="89"/>
      <c r="E114" s="165"/>
      <c r="F114" s="104"/>
      <c r="G114" s="122"/>
    </row>
    <row r="115" spans="1:8" x14ac:dyDescent="0.25">
      <c r="A115" s="96"/>
      <c r="B115" s="89"/>
      <c r="C115" s="89"/>
      <c r="D115" s="89"/>
      <c r="E115" s="115"/>
      <c r="F115" s="132"/>
      <c r="G115" s="122"/>
    </row>
    <row r="116" spans="1:8" x14ac:dyDescent="0.25">
      <c r="A116" s="96"/>
      <c r="B116" s="89"/>
      <c r="C116" s="89"/>
      <c r="D116" s="89"/>
      <c r="E116" s="89"/>
      <c r="F116" s="89"/>
      <c r="G116" s="122"/>
    </row>
    <row r="117" spans="1:8" ht="15.75" customHeight="1" x14ac:dyDescent="0.25">
      <c r="A117" s="88" t="s">
        <v>14</v>
      </c>
      <c r="B117" s="89"/>
      <c r="C117" s="89"/>
      <c r="D117" s="89"/>
      <c r="E117" s="89"/>
      <c r="F117" s="89"/>
      <c r="G117" s="89"/>
    </row>
    <row r="118" spans="1:8" ht="51.75" x14ac:dyDescent="0.25">
      <c r="A118" s="96"/>
      <c r="B118" s="89"/>
      <c r="C118" s="99" t="s">
        <v>306</v>
      </c>
      <c r="D118" s="89"/>
      <c r="E118" s="99" t="s">
        <v>174</v>
      </c>
      <c r="F118" s="99" t="s">
        <v>13</v>
      </c>
      <c r="G118" s="99" t="s">
        <v>12</v>
      </c>
      <c r="H118" s="99" t="s">
        <v>11</v>
      </c>
    </row>
    <row r="119" spans="1:8" x14ac:dyDescent="0.25">
      <c r="A119" s="96"/>
      <c r="B119" s="89"/>
      <c r="C119" s="119"/>
      <c r="D119" s="89"/>
      <c r="E119" s="119"/>
      <c r="F119" s="119"/>
      <c r="G119" s="122"/>
    </row>
    <row r="120" spans="1:8" x14ac:dyDescent="0.25">
      <c r="A120" s="96"/>
      <c r="B120" s="89"/>
      <c r="C120" s="89"/>
      <c r="D120" s="89"/>
      <c r="E120" s="119"/>
      <c r="F120" s="119"/>
      <c r="G120" s="122"/>
    </row>
    <row r="121" spans="1:8" x14ac:dyDescent="0.25">
      <c r="A121" s="96" t="s">
        <v>10</v>
      </c>
      <c r="B121" s="89"/>
      <c r="C121" s="178">
        <v>6824347300.4717379</v>
      </c>
      <c r="D121" s="187"/>
      <c r="E121" s="180">
        <v>0.46049962911213632</v>
      </c>
      <c r="F121" s="189">
        <f>E121*F$131</f>
        <v>38860488.894638836</v>
      </c>
      <c r="G121" s="207">
        <f>F121/C121</f>
        <v>5.6943891017903758E-3</v>
      </c>
      <c r="H121" s="207">
        <f>G121</f>
        <v>5.6943891017903758E-3</v>
      </c>
    </row>
    <row r="122" spans="1:8" x14ac:dyDescent="0.25">
      <c r="A122" s="96"/>
      <c r="B122" s="89"/>
      <c r="C122" s="178"/>
      <c r="D122" s="187"/>
      <c r="E122" s="180"/>
      <c r="F122" s="189"/>
      <c r="G122" s="207"/>
      <c r="H122" s="207"/>
    </row>
    <row r="123" spans="1:8" x14ac:dyDescent="0.25">
      <c r="A123" s="96" t="s">
        <v>2</v>
      </c>
      <c r="B123" s="89"/>
      <c r="C123" s="178">
        <v>2281540064.3074284</v>
      </c>
      <c r="D123" s="187"/>
      <c r="E123" s="180">
        <v>0.11302169887200222</v>
      </c>
      <c r="F123" s="189">
        <f>E123*F$131</f>
        <v>9537637.3751631007</v>
      </c>
      <c r="G123" s="207">
        <f>F123/C123</f>
        <v>4.1803505993037613E-3</v>
      </c>
      <c r="H123" s="207">
        <f>G123</f>
        <v>4.1803505993037613E-3</v>
      </c>
    </row>
    <row r="124" spans="1:8" x14ac:dyDescent="0.25">
      <c r="A124" s="96"/>
      <c r="B124" s="89"/>
      <c r="C124" s="178"/>
      <c r="D124" s="187"/>
      <c r="E124" s="180"/>
      <c r="F124" s="189"/>
      <c r="G124" s="207"/>
      <c r="H124" s="207"/>
    </row>
    <row r="125" spans="1:8" x14ac:dyDescent="0.25">
      <c r="A125" s="96" t="s">
        <v>9</v>
      </c>
      <c r="B125" s="89"/>
      <c r="C125" s="178">
        <v>9547826937.2094955</v>
      </c>
      <c r="D125" s="187"/>
      <c r="E125" s="180">
        <v>0.41445398809380962</v>
      </c>
      <c r="F125" s="189">
        <f>E125*F$131</f>
        <v>34974804.719628386</v>
      </c>
      <c r="G125" s="207">
        <f>F125/C125</f>
        <v>3.6631167436985751E-3</v>
      </c>
      <c r="H125" s="207">
        <f>G125</f>
        <v>3.6631167436985751E-3</v>
      </c>
    </row>
    <row r="126" spans="1:8" x14ac:dyDescent="0.25">
      <c r="A126" s="96"/>
      <c r="B126" s="89"/>
      <c r="C126" s="178"/>
      <c r="D126" s="187"/>
      <c r="E126" s="180"/>
      <c r="F126" s="189"/>
      <c r="G126" s="207"/>
      <c r="H126" s="207"/>
    </row>
    <row r="127" spans="1:8" x14ac:dyDescent="0.25">
      <c r="A127" s="96" t="s">
        <v>8</v>
      </c>
      <c r="B127" s="89"/>
      <c r="C127" s="178">
        <v>335163783.59592795</v>
      </c>
      <c r="D127" s="187"/>
      <c r="E127" s="180">
        <v>1.118062872431484E-2</v>
      </c>
      <c r="F127" s="189">
        <f>E127*F$131</f>
        <v>943507.16245748685</v>
      </c>
      <c r="G127" s="207">
        <f>F127/C127</f>
        <v>2.8150629890100988E-3</v>
      </c>
      <c r="H127" s="207">
        <f>G127</f>
        <v>2.8150629890100988E-3</v>
      </c>
    </row>
    <row r="128" spans="1:8" x14ac:dyDescent="0.25">
      <c r="A128" s="96"/>
      <c r="B128" s="89"/>
      <c r="C128" s="178"/>
      <c r="D128" s="187"/>
      <c r="E128" s="180"/>
      <c r="F128" s="189"/>
      <c r="G128" s="207"/>
      <c r="H128" s="207"/>
    </row>
    <row r="129" spans="1:8" x14ac:dyDescent="0.25">
      <c r="A129" s="96" t="s">
        <v>0</v>
      </c>
      <c r="B129" s="89"/>
      <c r="C129" s="154">
        <v>79987055</v>
      </c>
      <c r="D129" s="187"/>
      <c r="E129" s="190">
        <v>8.4405519773694078E-4</v>
      </c>
      <c r="F129" s="191">
        <f>E129*F$131</f>
        <v>71227.84811218892</v>
      </c>
      <c r="G129" s="209">
        <f>F129/C129</f>
        <v>8.9049219417053067E-4</v>
      </c>
      <c r="H129" s="209">
        <f>G129</f>
        <v>8.9049219417053067E-4</v>
      </c>
    </row>
    <row r="130" spans="1:8" x14ac:dyDescent="0.25">
      <c r="A130" s="96"/>
      <c r="B130" s="89"/>
      <c r="C130" s="182"/>
      <c r="D130" s="187"/>
      <c r="E130" s="192"/>
      <c r="F130" s="189"/>
      <c r="G130" s="207"/>
      <c r="H130" s="207"/>
    </row>
    <row r="131" spans="1:8" x14ac:dyDescent="0.25">
      <c r="A131" s="96" t="s">
        <v>7</v>
      </c>
      <c r="B131" s="89"/>
      <c r="C131" s="170">
        <f>SUM(C121:C129)</f>
        <v>19068865140.584591</v>
      </c>
      <c r="D131" s="187"/>
      <c r="E131" s="192">
        <f>SUM(E121:E129)</f>
        <v>0.99999999999999989</v>
      </c>
      <c r="F131" s="177">
        <v>84387666</v>
      </c>
      <c r="G131" s="207">
        <f>F131/C131</f>
        <v>4.4254162677146575E-3</v>
      </c>
      <c r="H131" s="207">
        <f>G131</f>
        <v>4.4254162677146575E-3</v>
      </c>
    </row>
    <row r="132" spans="1:8" x14ac:dyDescent="0.25">
      <c r="A132" s="96"/>
      <c r="B132" s="89"/>
      <c r="C132" s="89"/>
      <c r="D132" s="89"/>
      <c r="E132" s="89"/>
      <c r="F132" s="114"/>
      <c r="G132" s="89"/>
    </row>
    <row r="133" spans="1:8" x14ac:dyDescent="0.25">
      <c r="A133" s="96"/>
      <c r="B133" s="89"/>
      <c r="C133" s="115"/>
      <c r="D133" s="89"/>
      <c r="E133" s="167"/>
      <c r="F133" s="104"/>
      <c r="G133" s="89"/>
    </row>
    <row r="134" spans="1:8" x14ac:dyDescent="0.25">
      <c r="A134" s="96"/>
      <c r="B134" s="89"/>
      <c r="C134" s="89"/>
      <c r="D134" s="89"/>
      <c r="E134" s="89"/>
      <c r="F134" s="114"/>
      <c r="G134" s="89"/>
    </row>
    <row r="135" spans="1:8" x14ac:dyDescent="0.25">
      <c r="A135" s="96"/>
      <c r="B135" s="89"/>
      <c r="C135" s="89"/>
      <c r="D135" s="89"/>
      <c r="G135" s="89"/>
    </row>
    <row r="136" spans="1:8" x14ac:dyDescent="0.25">
      <c r="A136" s="96"/>
      <c r="B136" s="89"/>
      <c r="C136" s="89"/>
      <c r="D136" s="89"/>
      <c r="E136" s="89"/>
      <c r="F136" s="133"/>
      <c r="G136" s="89"/>
    </row>
    <row r="137" spans="1:8" x14ac:dyDescent="0.25">
      <c r="A137" s="96" t="s">
        <v>6</v>
      </c>
      <c r="B137" s="89" t="s">
        <v>5</v>
      </c>
      <c r="C137" s="89"/>
      <c r="D137" s="89"/>
      <c r="E137" s="89"/>
      <c r="F137" s="89"/>
      <c r="G137" s="89"/>
    </row>
    <row r="138" spans="1:8" x14ac:dyDescent="0.25">
      <c r="A138" s="96"/>
      <c r="B138" s="89" t="s">
        <v>4</v>
      </c>
      <c r="C138" s="89"/>
      <c r="D138" s="89"/>
      <c r="E138" s="89"/>
      <c r="F138" s="89"/>
      <c r="G138" s="89"/>
    </row>
    <row r="139" spans="1:8" x14ac:dyDescent="0.25">
      <c r="A139" s="134"/>
      <c r="B139" s="91"/>
      <c r="C139" s="89"/>
      <c r="D139" s="89"/>
      <c r="E139" s="89"/>
      <c r="F139" s="89"/>
      <c r="G139" s="89"/>
    </row>
    <row r="140" spans="1:8" ht="15.75" x14ac:dyDescent="0.25">
      <c r="A140" s="240" t="s">
        <v>175</v>
      </c>
      <c r="B140" s="240"/>
      <c r="C140" s="240"/>
      <c r="D140" s="240"/>
      <c r="E140" s="240"/>
      <c r="F140" s="240"/>
      <c r="G140" s="240"/>
    </row>
    <row r="141" spans="1:8" x14ac:dyDescent="0.25">
      <c r="A141" s="89"/>
      <c r="B141" s="89"/>
      <c r="C141" s="89"/>
      <c r="D141" s="89"/>
      <c r="E141" s="89"/>
      <c r="F141" s="89"/>
      <c r="G141" s="89"/>
    </row>
    <row r="142" spans="1:8" ht="15.75" customHeight="1" x14ac:dyDescent="0.25">
      <c r="A142" s="88" t="s">
        <v>176</v>
      </c>
      <c r="B142" s="89"/>
      <c r="C142" s="89"/>
      <c r="D142" s="89"/>
      <c r="E142" s="89"/>
      <c r="F142" s="89"/>
      <c r="G142" s="89"/>
    </row>
    <row r="144" spans="1:8" x14ac:dyDescent="0.25">
      <c r="A144" s="91" t="s">
        <v>52</v>
      </c>
      <c r="B144" s="89"/>
      <c r="C144" s="186">
        <v>2824892</v>
      </c>
    </row>
    <row r="145" spans="1:9" x14ac:dyDescent="0.25">
      <c r="A145" s="91" t="s">
        <v>177</v>
      </c>
      <c r="B145" s="89"/>
      <c r="C145" s="27">
        <f>SUM(C144:C144)</f>
        <v>2824892</v>
      </c>
    </row>
    <row r="147" spans="1:9" ht="39" x14ac:dyDescent="0.25">
      <c r="A147" s="96"/>
      <c r="B147" s="87"/>
      <c r="C147" s="99" t="s">
        <v>306</v>
      </c>
      <c r="D147" s="87"/>
      <c r="E147" s="99" t="s">
        <v>49</v>
      </c>
      <c r="F147" s="99" t="s">
        <v>48</v>
      </c>
      <c r="G147" s="99" t="s">
        <v>174</v>
      </c>
    </row>
    <row r="148" spans="1:9" ht="15.75" x14ac:dyDescent="0.25">
      <c r="A148" s="96"/>
      <c r="B148" s="87"/>
      <c r="C148" s="89"/>
      <c r="D148" s="87"/>
      <c r="E148" s="89"/>
      <c r="F148" s="89"/>
      <c r="G148" s="89"/>
    </row>
    <row r="149" spans="1:9" ht="15.75" x14ac:dyDescent="0.25">
      <c r="A149" s="96" t="s">
        <v>10</v>
      </c>
      <c r="B149" s="87"/>
      <c r="C149" s="178">
        <v>6824347300.4717379</v>
      </c>
      <c r="D149" s="171"/>
      <c r="E149" s="178">
        <v>1017031805.9190587</v>
      </c>
      <c r="F149" s="179">
        <f>C149-E149</f>
        <v>5807315494.5526791</v>
      </c>
      <c r="G149" s="180">
        <v>0.32469012958724708</v>
      </c>
      <c r="I149" s="127"/>
    </row>
    <row r="150" spans="1:9" ht="15.75" x14ac:dyDescent="0.25">
      <c r="A150" s="96"/>
      <c r="B150" s="87"/>
      <c r="C150" s="178"/>
      <c r="D150" s="171"/>
      <c r="E150" s="181"/>
      <c r="F150" s="179"/>
      <c r="G150" s="180"/>
    </row>
    <row r="151" spans="1:9" ht="15.75" x14ac:dyDescent="0.25">
      <c r="A151" s="96" t="s">
        <v>2</v>
      </c>
      <c r="B151" s="87"/>
      <c r="C151" s="178">
        <v>2281540064.3074284</v>
      </c>
      <c r="D151" s="171"/>
      <c r="E151" s="178">
        <v>2245116.7008786984</v>
      </c>
      <c r="F151" s="179">
        <f>C151-E151</f>
        <v>2279294947.6065497</v>
      </c>
      <c r="G151" s="180">
        <v>0.11911757788890198</v>
      </c>
    </row>
    <row r="152" spans="1:9" ht="15.75" x14ac:dyDescent="0.25">
      <c r="A152" s="96"/>
      <c r="B152" s="87"/>
      <c r="C152" s="178"/>
      <c r="D152" s="171"/>
      <c r="E152" s="178"/>
      <c r="F152" s="179"/>
      <c r="G152" s="180"/>
    </row>
    <row r="153" spans="1:9" ht="15.75" x14ac:dyDescent="0.25">
      <c r="A153" s="96" t="s">
        <v>9</v>
      </c>
      <c r="B153" s="87"/>
      <c r="C153" s="178">
        <v>9547826937.2094955</v>
      </c>
      <c r="D153" s="171"/>
      <c r="E153" s="178">
        <v>14909881.589093516</v>
      </c>
      <c r="F153" s="179">
        <f>C153-E153</f>
        <v>9532917055.6204014</v>
      </c>
      <c r="G153" s="180">
        <v>0.5397275811009683</v>
      </c>
    </row>
    <row r="154" spans="1:9" ht="15.75" x14ac:dyDescent="0.25">
      <c r="A154" s="96"/>
      <c r="B154" s="87"/>
      <c r="C154" s="178"/>
      <c r="D154" s="171"/>
      <c r="E154" s="179"/>
      <c r="F154" s="179"/>
      <c r="G154" s="180"/>
    </row>
    <row r="155" spans="1:9" ht="15.75" x14ac:dyDescent="0.25">
      <c r="A155" s="96" t="s">
        <v>8</v>
      </c>
      <c r="B155" s="87"/>
      <c r="C155" s="178">
        <v>335163783.59592795</v>
      </c>
      <c r="D155" s="171"/>
      <c r="E155" s="182"/>
      <c r="F155" s="179">
        <f>C155</f>
        <v>335163783.59592795</v>
      </c>
      <c r="G155" s="180">
        <v>1.6464711422882472E-2</v>
      </c>
    </row>
    <row r="156" spans="1:9" ht="15.75" x14ac:dyDescent="0.25">
      <c r="A156" s="89"/>
      <c r="B156" s="87"/>
      <c r="C156" s="178"/>
      <c r="D156" s="171"/>
      <c r="E156" s="182"/>
      <c r="F156" s="179"/>
      <c r="G156" s="183"/>
    </row>
    <row r="157" spans="1:9" ht="15.75" x14ac:dyDescent="0.25">
      <c r="A157" s="89" t="s">
        <v>0</v>
      </c>
      <c r="B157" s="87"/>
      <c r="C157" s="154">
        <v>79987055</v>
      </c>
      <c r="D157" s="171"/>
      <c r="E157" s="199"/>
      <c r="F157" s="204">
        <v>0</v>
      </c>
      <c r="G157" s="190">
        <v>0</v>
      </c>
    </row>
    <row r="158" spans="1:9" ht="15.75" x14ac:dyDescent="0.25">
      <c r="A158" s="89"/>
      <c r="B158" s="87"/>
      <c r="C158" s="89"/>
      <c r="D158" s="87"/>
      <c r="E158" s="89"/>
      <c r="F158" s="89"/>
      <c r="G158" s="135"/>
    </row>
    <row r="159" spans="1:9" ht="15.75" x14ac:dyDescent="0.25">
      <c r="A159" s="89" t="s">
        <v>34</v>
      </c>
      <c r="B159" s="87"/>
      <c r="C159" s="170">
        <f>SUM(C149:C157)</f>
        <v>19068865140.584591</v>
      </c>
      <c r="D159" s="103" t="s">
        <v>33</v>
      </c>
      <c r="E159" s="100">
        <f>SUM(E149:E157)</f>
        <v>1034186804.209031</v>
      </c>
      <c r="F159" s="100">
        <f>SUM(F149:F157)</f>
        <v>17954691281.375561</v>
      </c>
      <c r="G159" s="135">
        <f>SUM(G149:G157)</f>
        <v>0.99999999999999978</v>
      </c>
    </row>
    <row r="160" spans="1:9" ht="15.75" x14ac:dyDescent="0.25">
      <c r="A160" s="89"/>
      <c r="B160" s="87"/>
      <c r="C160" s="89"/>
      <c r="D160" s="87"/>
      <c r="E160" s="89"/>
      <c r="F160" s="26"/>
      <c r="G160" s="114"/>
    </row>
    <row r="161" spans="1:7" ht="15.75" x14ac:dyDescent="0.25">
      <c r="A161" s="89"/>
      <c r="B161" s="87"/>
      <c r="C161" s="89"/>
      <c r="D161" s="87"/>
      <c r="E161" s="89"/>
      <c r="F161" s="132"/>
      <c r="G161" s="168"/>
    </row>
    <row r="162" spans="1:7" ht="15.75" x14ac:dyDescent="0.25">
      <c r="A162" s="88" t="s">
        <v>178</v>
      </c>
      <c r="B162" s="87"/>
      <c r="C162" s="89"/>
      <c r="D162" s="87"/>
      <c r="E162" s="89"/>
      <c r="F162" s="89"/>
      <c r="G162" s="89"/>
    </row>
    <row r="163" spans="1:7" ht="39" x14ac:dyDescent="0.25">
      <c r="A163" s="89"/>
      <c r="B163" s="89"/>
      <c r="C163" s="99" t="s">
        <v>179</v>
      </c>
      <c r="D163" s="105"/>
      <c r="E163" s="99" t="s">
        <v>180</v>
      </c>
      <c r="F163" s="89"/>
      <c r="G163" s="89"/>
    </row>
    <row r="164" spans="1:7" x14ac:dyDescent="0.25">
      <c r="A164" s="89"/>
      <c r="B164" s="89"/>
      <c r="C164" s="103"/>
      <c r="D164" s="103"/>
      <c r="E164" s="103"/>
      <c r="F164" s="89"/>
      <c r="G164" s="106"/>
    </row>
    <row r="165" spans="1:7" x14ac:dyDescent="0.25">
      <c r="A165" s="89" t="s">
        <v>10</v>
      </c>
      <c r="B165" s="89"/>
      <c r="C165" s="117">
        <f>$C$145*G149</f>
        <v>917214.54954997753</v>
      </c>
      <c r="D165" s="103"/>
      <c r="E165" s="108">
        <f>C165/F149</f>
        <v>1.5794122954234776E-4</v>
      </c>
      <c r="F165" s="89"/>
      <c r="G165" s="109"/>
    </row>
    <row r="166" spans="1:7" x14ac:dyDescent="0.25">
      <c r="A166" s="89"/>
      <c r="B166" s="89"/>
      <c r="C166" s="107"/>
      <c r="D166" s="103"/>
      <c r="E166" s="108"/>
      <c r="F166" s="89"/>
      <c r="G166" s="89"/>
    </row>
    <row r="167" spans="1:7" x14ac:dyDescent="0.25">
      <c r="A167" s="89" t="s">
        <v>2</v>
      </c>
      <c r="B167" s="89"/>
      <c r="C167" s="107">
        <f>$C$145*G151</f>
        <v>336494.29283773608</v>
      </c>
      <c r="D167" s="103"/>
      <c r="E167" s="108">
        <f>C167/F151</f>
        <v>1.47630868567968E-4</v>
      </c>
      <c r="F167" s="89"/>
      <c r="G167" s="89"/>
    </row>
    <row r="168" spans="1:7" x14ac:dyDescent="0.25">
      <c r="A168" s="89"/>
      <c r="B168" s="89"/>
      <c r="C168" s="107"/>
      <c r="D168" s="103"/>
      <c r="E168" s="108"/>
      <c r="F168" s="89"/>
      <c r="G168" s="89"/>
    </row>
    <row r="169" spans="1:7" x14ac:dyDescent="0.25">
      <c r="A169" s="89" t="s">
        <v>9</v>
      </c>
      <c r="B169" s="89"/>
      <c r="C169" s="107">
        <f>$C$145*G153</f>
        <v>1524672.1260314765</v>
      </c>
      <c r="D169" s="103"/>
      <c r="E169" s="108">
        <f>C169/F153</f>
        <v>1.5993762634623605E-4</v>
      </c>
      <c r="F169" s="89"/>
      <c r="G169" s="89"/>
    </row>
    <row r="170" spans="1:7" x14ac:dyDescent="0.25">
      <c r="A170" s="89"/>
      <c r="B170" s="89"/>
      <c r="C170" s="107"/>
      <c r="D170" s="103"/>
      <c r="E170" s="108"/>
      <c r="F170" s="89"/>
      <c r="G170" s="89"/>
    </row>
    <row r="171" spans="1:7" x14ac:dyDescent="0.25">
      <c r="A171" s="89" t="s">
        <v>8</v>
      </c>
      <c r="B171" s="89"/>
      <c r="C171" s="111">
        <f>$C$145*G155</f>
        <v>46511.031580809315</v>
      </c>
      <c r="D171" s="103"/>
      <c r="E171" s="112">
        <f>C171/F155</f>
        <v>1.3877105420459992E-4</v>
      </c>
      <c r="F171" s="89"/>
      <c r="G171" s="89"/>
    </row>
    <row r="172" spans="1:7" x14ac:dyDescent="0.25">
      <c r="A172" s="89"/>
      <c r="B172" s="89"/>
      <c r="C172" s="107"/>
      <c r="D172" s="103"/>
      <c r="E172" s="108"/>
      <c r="F172" s="89"/>
      <c r="G172" s="89"/>
    </row>
    <row r="173" spans="1:7" x14ac:dyDescent="0.25">
      <c r="A173" s="96" t="s">
        <v>29</v>
      </c>
      <c r="B173" s="89"/>
      <c r="C173" s="107">
        <f>SUM(C165:C172)</f>
        <v>2824891.9999999995</v>
      </c>
      <c r="D173" s="103"/>
      <c r="E173" s="113">
        <f>C173/F159</f>
        <v>1.5733447909128162E-4</v>
      </c>
      <c r="F173" s="89"/>
      <c r="G173" s="89"/>
    </row>
    <row r="174" spans="1:7" ht="15.75" x14ac:dyDescent="0.25">
      <c r="A174" s="89"/>
      <c r="B174" s="87"/>
      <c r="C174" s="89"/>
      <c r="D174" s="87"/>
      <c r="E174" s="89"/>
      <c r="F174" s="26"/>
      <c r="G174" s="114"/>
    </row>
    <row r="175" spans="1:7" x14ac:dyDescent="0.25">
      <c r="A175" s="115"/>
      <c r="B175" s="115"/>
      <c r="C175" s="104"/>
      <c r="D175" s="89"/>
      <c r="E175" s="89"/>
      <c r="F175" s="89"/>
      <c r="G175" s="89"/>
    </row>
    <row r="176" spans="1:7" x14ac:dyDescent="0.25">
      <c r="A176" s="115"/>
      <c r="C176" s="132"/>
    </row>
    <row r="177" spans="1:11" x14ac:dyDescent="0.25">
      <c r="A177" s="136" t="s">
        <v>181</v>
      </c>
    </row>
    <row r="178" spans="1:11" x14ac:dyDescent="0.25">
      <c r="A178" s="136"/>
    </row>
    <row r="179" spans="1:11" x14ac:dyDescent="0.25">
      <c r="A179" s="136"/>
    </row>
    <row r="180" spans="1:11" s="42" customFormat="1" ht="15.75" x14ac:dyDescent="0.25">
      <c r="A180" s="233" t="s">
        <v>182</v>
      </c>
      <c r="B180" s="233"/>
      <c r="C180" s="233"/>
      <c r="D180" s="233"/>
      <c r="E180" s="233"/>
      <c r="F180" s="233"/>
      <c r="G180" s="233"/>
    </row>
    <row r="181" spans="1:11" ht="15.75" x14ac:dyDescent="0.25">
      <c r="A181" s="87"/>
      <c r="B181" s="87"/>
      <c r="C181" s="87"/>
      <c r="D181" s="87"/>
      <c r="E181" s="87"/>
      <c r="F181" s="87"/>
      <c r="G181" s="87"/>
      <c r="I181" s="90"/>
      <c r="J181" s="90"/>
    </row>
    <row r="182" spans="1:11" ht="15.75" x14ac:dyDescent="0.25">
      <c r="A182" s="88" t="s">
        <v>183</v>
      </c>
      <c r="B182" s="87"/>
      <c r="C182" s="89"/>
      <c r="D182" s="87"/>
      <c r="E182" s="89"/>
      <c r="F182" s="89"/>
      <c r="G182" s="89"/>
      <c r="H182" s="90"/>
      <c r="I182" s="90"/>
      <c r="J182" s="90"/>
    </row>
    <row r="183" spans="1:11" ht="15.75" x14ac:dyDescent="0.25">
      <c r="A183" s="89"/>
      <c r="B183" s="87"/>
      <c r="C183" s="89"/>
      <c r="D183" s="87"/>
      <c r="E183" s="89"/>
      <c r="F183" s="89"/>
      <c r="G183" s="89"/>
      <c r="H183" s="90"/>
      <c r="I183" s="90"/>
      <c r="J183" s="90"/>
    </row>
    <row r="184" spans="1:11" ht="15.75" x14ac:dyDescent="0.25">
      <c r="A184" s="91" t="s">
        <v>38</v>
      </c>
      <c r="B184" s="87"/>
      <c r="C184" s="175">
        <v>0</v>
      </c>
      <c r="D184" s="171"/>
      <c r="E184" s="91"/>
      <c r="F184" s="187"/>
      <c r="G184" s="92"/>
      <c r="H184" s="87"/>
      <c r="I184" s="90"/>
      <c r="J184" s="90"/>
    </row>
    <row r="185" spans="1:11" ht="15.75" x14ac:dyDescent="0.25">
      <c r="A185" s="94" t="s">
        <v>37</v>
      </c>
      <c r="B185" s="87"/>
      <c r="C185" s="176">
        <v>0</v>
      </c>
      <c r="D185" s="171"/>
      <c r="E185" s="91"/>
      <c r="F185" s="187"/>
      <c r="G185" s="95"/>
      <c r="H185" s="87"/>
      <c r="I185" s="90"/>
      <c r="J185" s="90"/>
    </row>
    <row r="186" spans="1:11" ht="15.75" x14ac:dyDescent="0.25">
      <c r="A186" s="96" t="s">
        <v>184</v>
      </c>
      <c r="B186" s="87"/>
      <c r="C186" s="205">
        <f>SUM(C184:C185)</f>
        <v>0</v>
      </c>
      <c r="D186" s="171"/>
      <c r="E186" s="187"/>
      <c r="F186" s="187"/>
      <c r="G186" s="187"/>
      <c r="H186" s="90"/>
      <c r="I186" s="90"/>
      <c r="J186" s="90"/>
    </row>
    <row r="187" spans="1:11" ht="15.75" x14ac:dyDescent="0.25">
      <c r="A187" s="96"/>
      <c r="B187" s="87"/>
      <c r="C187" s="187"/>
      <c r="D187" s="171"/>
      <c r="E187" s="187"/>
      <c r="F187" s="187"/>
      <c r="G187" s="187"/>
      <c r="H187" s="90"/>
      <c r="I187" s="90"/>
      <c r="J187" s="90"/>
    </row>
    <row r="188" spans="1:11" ht="15.75" x14ac:dyDescent="0.25">
      <c r="A188" s="91"/>
      <c r="B188" s="87"/>
      <c r="C188" s="211"/>
      <c r="D188" s="171"/>
      <c r="E188" s="187"/>
      <c r="F188" s="187"/>
      <c r="G188" s="187"/>
      <c r="H188" s="90"/>
      <c r="I188" s="90"/>
      <c r="J188" s="90"/>
    </row>
    <row r="189" spans="1:11" ht="15.75" x14ac:dyDescent="0.25">
      <c r="A189" s="88"/>
      <c r="B189" s="87"/>
      <c r="C189" s="187"/>
      <c r="D189" s="171"/>
      <c r="E189" s="187"/>
      <c r="F189" s="187"/>
      <c r="G189" s="187"/>
      <c r="H189" s="90"/>
      <c r="I189" s="90"/>
      <c r="J189" s="90"/>
    </row>
    <row r="190" spans="1:11" ht="15.75" x14ac:dyDescent="0.25">
      <c r="A190" s="88" t="s">
        <v>185</v>
      </c>
      <c r="B190" s="87"/>
      <c r="C190" s="187"/>
      <c r="D190" s="171"/>
      <c r="E190" s="187"/>
      <c r="F190" s="187"/>
      <c r="G190" s="187"/>
      <c r="H190" s="90"/>
      <c r="I190" s="90"/>
      <c r="J190" s="90"/>
    </row>
    <row r="191" spans="1:11" ht="39" x14ac:dyDescent="0.25">
      <c r="A191" s="96"/>
      <c r="B191" s="87"/>
      <c r="C191" s="99" t="s">
        <v>306</v>
      </c>
      <c r="D191" s="171"/>
      <c r="E191" s="99" t="s">
        <v>186</v>
      </c>
      <c r="F191" s="99" t="s">
        <v>187</v>
      </c>
      <c r="G191" s="99" t="s">
        <v>174</v>
      </c>
      <c r="H191" s="90"/>
      <c r="I191" s="99" t="s">
        <v>188</v>
      </c>
      <c r="J191" s="99" t="s">
        <v>189</v>
      </c>
      <c r="K191" s="99" t="s">
        <v>190</v>
      </c>
    </row>
    <row r="192" spans="1:11" ht="12" customHeight="1" x14ac:dyDescent="0.25">
      <c r="A192" s="96"/>
      <c r="B192" s="87"/>
      <c r="C192" s="187"/>
      <c r="D192" s="171"/>
      <c r="E192" s="187"/>
      <c r="F192" s="187"/>
      <c r="G192" s="187"/>
      <c r="H192" s="90"/>
      <c r="I192" s="90"/>
      <c r="J192" s="90"/>
    </row>
    <row r="193" spans="1:17" ht="12" customHeight="1" x14ac:dyDescent="0.25">
      <c r="A193" s="96" t="s">
        <v>10</v>
      </c>
      <c r="B193" s="87"/>
      <c r="C193" s="178">
        <v>6824347300.4717379</v>
      </c>
      <c r="D193" s="171"/>
      <c r="E193" s="178">
        <v>1017031805.9190587</v>
      </c>
      <c r="F193" s="179">
        <f>C193-E193</f>
        <v>5807315494.5526791</v>
      </c>
      <c r="G193" s="180">
        <v>0.41548062462667729</v>
      </c>
      <c r="H193" s="21"/>
      <c r="I193" s="137"/>
    </row>
    <row r="194" spans="1:17" ht="12" customHeight="1" x14ac:dyDescent="0.25">
      <c r="A194" s="96"/>
      <c r="B194" s="87"/>
      <c r="C194" s="178"/>
      <c r="D194" s="171"/>
      <c r="E194" s="181"/>
      <c r="F194" s="179"/>
      <c r="G194" s="180"/>
      <c r="H194" s="22"/>
      <c r="I194" s="23"/>
    </row>
    <row r="195" spans="1:17" ht="12" customHeight="1" x14ac:dyDescent="0.25">
      <c r="A195" s="96" t="s">
        <v>2</v>
      </c>
      <c r="B195" s="87"/>
      <c r="C195" s="178">
        <v>2281540064.3074284</v>
      </c>
      <c r="D195" s="171"/>
      <c r="E195" s="178">
        <v>2245116.7008786984</v>
      </c>
      <c r="F195" s="179">
        <f>C195-E195</f>
        <v>2279294947.6065497</v>
      </c>
      <c r="G195" s="180">
        <v>0.11372317853934658</v>
      </c>
      <c r="H195" s="21"/>
      <c r="I195" s="38"/>
    </row>
    <row r="196" spans="1:17" ht="12" customHeight="1" x14ac:dyDescent="0.25">
      <c r="A196" s="96"/>
      <c r="B196" s="87"/>
      <c r="C196" s="178"/>
      <c r="D196" s="171"/>
      <c r="E196" s="178"/>
      <c r="F196" s="179"/>
      <c r="G196" s="180"/>
      <c r="H196" s="21"/>
      <c r="I196" s="22"/>
    </row>
    <row r="197" spans="1:17" ht="12" customHeight="1" x14ac:dyDescent="0.25">
      <c r="A197" s="96" t="s">
        <v>9</v>
      </c>
      <c r="B197" s="87"/>
      <c r="C197" s="178">
        <v>9547826937.2094955</v>
      </c>
      <c r="D197" s="171"/>
      <c r="E197" s="178">
        <v>14909881.589093516</v>
      </c>
      <c r="F197" s="179" t="s">
        <v>191</v>
      </c>
      <c r="G197" s="180">
        <v>0.44959881335524515</v>
      </c>
      <c r="H197" s="21"/>
      <c r="I197" s="22">
        <v>25584803.534700777</v>
      </c>
      <c r="J197" s="127">
        <v>4896786.4647400761</v>
      </c>
      <c r="K197" s="127">
        <v>7451103323.2250719</v>
      </c>
      <c r="P197" s="31"/>
      <c r="Q197" s="127"/>
    </row>
    <row r="198" spans="1:17" ht="12" customHeight="1" x14ac:dyDescent="0.25">
      <c r="A198" s="96"/>
      <c r="B198" s="87"/>
      <c r="C198" s="178"/>
      <c r="D198" s="171"/>
      <c r="E198" s="179"/>
      <c r="F198" s="179"/>
      <c r="G198" s="180"/>
      <c r="H198" s="24"/>
      <c r="I198" s="23"/>
    </row>
    <row r="199" spans="1:17" ht="12" customHeight="1" x14ac:dyDescent="0.25">
      <c r="A199" s="96" t="s">
        <v>8</v>
      </c>
      <c r="B199" s="87"/>
      <c r="C199" s="178">
        <v>335163783.59592795</v>
      </c>
      <c r="D199" s="171"/>
      <c r="E199" s="182"/>
      <c r="F199" s="179">
        <f>C199</f>
        <v>335163783.59592795</v>
      </c>
      <c r="G199" s="180">
        <v>1.5913655348609279E-2</v>
      </c>
      <c r="H199" s="21"/>
      <c r="I199" s="38"/>
      <c r="K199" s="127"/>
    </row>
    <row r="200" spans="1:17" ht="12" customHeight="1" x14ac:dyDescent="0.25">
      <c r="A200" s="89"/>
      <c r="B200" s="87"/>
      <c r="C200" s="178"/>
      <c r="D200" s="171"/>
      <c r="E200" s="182"/>
      <c r="F200" s="179"/>
      <c r="G200" s="183"/>
      <c r="H200" s="24"/>
      <c r="I200" s="22"/>
    </row>
    <row r="201" spans="1:17" ht="12" customHeight="1" x14ac:dyDescent="0.25">
      <c r="A201" s="89" t="s">
        <v>0</v>
      </c>
      <c r="B201" s="87"/>
      <c r="C201" s="154">
        <v>79987055</v>
      </c>
      <c r="D201" s="171"/>
      <c r="E201" s="199"/>
      <c r="F201" s="204">
        <f>C201</f>
        <v>79987055</v>
      </c>
      <c r="G201" s="190">
        <v>5.2837281301218514E-3</v>
      </c>
      <c r="H201" s="22"/>
      <c r="I201" s="38"/>
    </row>
    <row r="202" spans="1:17" ht="12" customHeight="1" x14ac:dyDescent="0.25">
      <c r="A202" s="89"/>
      <c r="B202" s="87"/>
      <c r="C202" s="89"/>
      <c r="D202" s="87"/>
      <c r="E202" s="89"/>
      <c r="F202" s="89"/>
      <c r="G202" s="102"/>
      <c r="H202" s="90"/>
      <c r="I202" s="90"/>
    </row>
    <row r="203" spans="1:17" ht="12" customHeight="1" x14ac:dyDescent="0.25">
      <c r="A203" s="89" t="s">
        <v>34</v>
      </c>
      <c r="B203" s="87"/>
      <c r="C203" s="100">
        <f>SUM(C193:C201)</f>
        <v>19068865140.584591</v>
      </c>
      <c r="D203" s="103" t="s">
        <v>33</v>
      </c>
      <c r="E203" s="100">
        <f>SUM(E193:E201)</f>
        <v>1034186804.209031</v>
      </c>
      <c r="F203" s="100">
        <f>SUM(F193:F201)</f>
        <v>8501761280.7551575</v>
      </c>
      <c r="G203" s="102">
        <f>SUM(G193:G201)</f>
        <v>1.0000000000000002</v>
      </c>
      <c r="H203" s="90"/>
      <c r="I203" s="90"/>
    </row>
    <row r="204" spans="1:17" ht="12" customHeight="1" x14ac:dyDescent="0.25">
      <c r="A204" s="89"/>
      <c r="B204" s="87"/>
      <c r="C204" s="89"/>
      <c r="D204" s="87"/>
      <c r="E204" s="89"/>
      <c r="H204" s="90"/>
      <c r="I204" s="90"/>
    </row>
    <row r="205" spans="1:17" ht="12" customHeight="1" x14ac:dyDescent="0.25">
      <c r="A205" s="89"/>
      <c r="B205" s="87"/>
      <c r="C205" s="89"/>
      <c r="D205" s="87"/>
      <c r="E205" s="89"/>
      <c r="F205" s="25"/>
      <c r="G205" s="104"/>
      <c r="H205" s="90"/>
      <c r="I205" s="90"/>
    </row>
    <row r="206" spans="1:17" ht="12" customHeight="1" thickBot="1" x14ac:dyDescent="0.3">
      <c r="A206" s="88" t="s">
        <v>192</v>
      </c>
      <c r="B206" s="87"/>
      <c r="C206" s="89"/>
      <c r="D206" s="87"/>
      <c r="E206" s="89"/>
      <c r="F206" s="89"/>
      <c r="G206" s="89"/>
      <c r="H206" s="90"/>
      <c r="I206" s="90"/>
    </row>
    <row r="207" spans="1:17" ht="39" x14ac:dyDescent="0.25">
      <c r="A207" s="89"/>
      <c r="B207" s="89"/>
      <c r="C207" s="99" t="s">
        <v>193</v>
      </c>
      <c r="D207" s="105"/>
      <c r="E207" s="99" t="s">
        <v>194</v>
      </c>
      <c r="F207" s="99" t="s">
        <v>195</v>
      </c>
      <c r="G207" s="89"/>
      <c r="H207" s="234" t="s">
        <v>196</v>
      </c>
      <c r="I207" s="235"/>
    </row>
    <row r="208" spans="1:17" ht="12" customHeight="1" x14ac:dyDescent="0.25">
      <c r="A208" s="89"/>
      <c r="B208" s="89"/>
      <c r="C208" s="103"/>
      <c r="D208" s="103"/>
      <c r="E208" s="103"/>
      <c r="F208" s="103"/>
      <c r="G208" s="89"/>
      <c r="H208" s="236"/>
      <c r="I208" s="237"/>
    </row>
    <row r="209" spans="1:10" ht="12" customHeight="1" x14ac:dyDescent="0.25">
      <c r="A209" s="89" t="s">
        <v>10</v>
      </c>
      <c r="B209" s="89"/>
      <c r="C209" s="107">
        <f>$C$186*G193</f>
        <v>0</v>
      </c>
      <c r="D209" s="103"/>
      <c r="E209" s="138"/>
      <c r="F209" s="108">
        <f>C209/F193</f>
        <v>0</v>
      </c>
      <c r="G209" s="89"/>
      <c r="H209" s="236"/>
      <c r="I209" s="237"/>
    </row>
    <row r="210" spans="1:10" ht="12" customHeight="1" x14ac:dyDescent="0.25">
      <c r="A210" s="89"/>
      <c r="B210" s="89"/>
      <c r="C210" s="107"/>
      <c r="D210" s="103"/>
      <c r="E210" s="103"/>
      <c r="F210" s="108"/>
      <c r="G210" s="89"/>
      <c r="H210" s="236"/>
      <c r="I210" s="237"/>
    </row>
    <row r="211" spans="1:10" ht="12" customHeight="1" x14ac:dyDescent="0.25">
      <c r="A211" s="89" t="s">
        <v>2</v>
      </c>
      <c r="B211" s="89"/>
      <c r="C211" s="107">
        <f>$C$186*G195</f>
        <v>0</v>
      </c>
      <c r="D211" s="103"/>
      <c r="E211" s="138"/>
      <c r="F211" s="108">
        <f>C211/F195</f>
        <v>0</v>
      </c>
      <c r="G211" s="89"/>
      <c r="H211" s="236"/>
      <c r="I211" s="237"/>
    </row>
    <row r="212" spans="1:10" ht="12" customHeight="1" x14ac:dyDescent="0.25">
      <c r="A212" s="89"/>
      <c r="B212" s="89"/>
      <c r="C212" s="107"/>
      <c r="D212" s="103"/>
      <c r="E212" s="103"/>
      <c r="F212" s="110"/>
      <c r="G212" s="89"/>
      <c r="H212" s="236"/>
      <c r="I212" s="237"/>
    </row>
    <row r="213" spans="1:10" ht="12" customHeight="1" x14ac:dyDescent="0.25">
      <c r="A213" s="89" t="s">
        <v>9</v>
      </c>
      <c r="B213" s="89"/>
      <c r="C213" s="107">
        <f>$C$186*G197</f>
        <v>0</v>
      </c>
      <c r="D213" s="103"/>
      <c r="E213" s="39">
        <f>C213/I197</f>
        <v>0</v>
      </c>
      <c r="F213" s="108">
        <f>(C213-(E213*J197))/K197</f>
        <v>0</v>
      </c>
      <c r="G213" s="89"/>
      <c r="H213" s="236"/>
      <c r="I213" s="237"/>
    </row>
    <row r="214" spans="1:10" ht="12" customHeight="1" x14ac:dyDescent="0.25">
      <c r="A214" s="89"/>
      <c r="B214" s="89"/>
      <c r="C214" s="107"/>
      <c r="D214" s="103"/>
      <c r="E214" s="103"/>
      <c r="F214" s="110"/>
      <c r="G214" s="89"/>
      <c r="H214" s="236"/>
      <c r="I214" s="237"/>
    </row>
    <row r="215" spans="1:10" ht="12" customHeight="1" x14ac:dyDescent="0.25">
      <c r="A215" s="89" t="s">
        <v>8</v>
      </c>
      <c r="B215" s="89"/>
      <c r="C215" s="107">
        <f>$C$186*G199</f>
        <v>0</v>
      </c>
      <c r="D215" s="103"/>
      <c r="E215" s="138"/>
      <c r="F215" s="108">
        <f>C215/F199</f>
        <v>0</v>
      </c>
      <c r="G215" s="89"/>
      <c r="H215" s="236"/>
      <c r="I215" s="237"/>
    </row>
    <row r="216" spans="1:10" ht="12" customHeight="1" x14ac:dyDescent="0.25">
      <c r="A216" s="89"/>
      <c r="B216" s="89"/>
      <c r="C216" s="107"/>
      <c r="D216" s="103"/>
      <c r="E216" s="103"/>
      <c r="F216" s="108"/>
      <c r="G216" s="89"/>
      <c r="H216" s="236"/>
      <c r="I216" s="237"/>
    </row>
    <row r="217" spans="1:10" ht="12" customHeight="1" x14ac:dyDescent="0.25">
      <c r="A217" s="89" t="s">
        <v>0</v>
      </c>
      <c r="B217" s="89"/>
      <c r="C217" s="111">
        <f>$C$186*G201</f>
        <v>0</v>
      </c>
      <c r="D217" s="103"/>
      <c r="E217" s="138"/>
      <c r="F217" s="112">
        <f>C217/F201</f>
        <v>0</v>
      </c>
      <c r="G217" s="89"/>
      <c r="H217" s="236"/>
      <c r="I217" s="237"/>
    </row>
    <row r="218" spans="1:10" ht="12" customHeight="1" x14ac:dyDescent="0.25">
      <c r="A218" s="89"/>
      <c r="B218" s="89"/>
      <c r="C218" s="107"/>
      <c r="D218" s="103"/>
      <c r="E218" s="103"/>
      <c r="F218" s="108"/>
      <c r="G218" s="89"/>
      <c r="H218" s="236"/>
      <c r="I218" s="237"/>
    </row>
    <row r="219" spans="1:10" ht="12" customHeight="1" thickBot="1" x14ac:dyDescent="0.3">
      <c r="A219" s="96" t="s">
        <v>29</v>
      </c>
      <c r="B219" s="89"/>
      <c r="C219" s="107">
        <f>SUM(C209:C218)</f>
        <v>0</v>
      </c>
      <c r="D219" s="103"/>
      <c r="E219" s="103"/>
      <c r="F219" s="113">
        <f>C219/F203</f>
        <v>0</v>
      </c>
      <c r="G219" s="89"/>
      <c r="H219" s="238"/>
      <c r="I219" s="239"/>
    </row>
    <row r="220" spans="1:10" ht="12" customHeight="1" x14ac:dyDescent="0.25">
      <c r="A220" s="89"/>
      <c r="B220" s="87"/>
      <c r="C220" s="89"/>
      <c r="D220" s="87"/>
      <c r="E220" s="89"/>
      <c r="F220" s="26"/>
      <c r="G220" s="114"/>
      <c r="H220" s="90"/>
      <c r="I220" s="90"/>
      <c r="J220" s="90"/>
    </row>
    <row r="221" spans="1:10" ht="12" customHeight="1" x14ac:dyDescent="0.25">
      <c r="A221" s="115"/>
      <c r="B221" s="115"/>
      <c r="C221" s="139"/>
      <c r="D221" s="89"/>
      <c r="E221" s="89"/>
      <c r="F221" s="89"/>
      <c r="G221" s="89"/>
    </row>
    <row r="222" spans="1:10" ht="15.75" x14ac:dyDescent="0.25">
      <c r="A222" s="87"/>
      <c r="B222" s="87"/>
      <c r="C222" s="87"/>
      <c r="D222" s="87"/>
      <c r="E222" s="87"/>
      <c r="F222" s="87"/>
      <c r="G222" s="87"/>
      <c r="I222" s="90"/>
      <c r="J222" s="90"/>
    </row>
    <row r="223" spans="1:10" ht="15.75" x14ac:dyDescent="0.25">
      <c r="A223" s="88" t="s">
        <v>197</v>
      </c>
      <c r="B223" s="87"/>
      <c r="C223" s="89"/>
      <c r="D223" s="87"/>
      <c r="E223" s="89"/>
      <c r="F223" s="89"/>
      <c r="G223" s="89"/>
      <c r="H223" s="90"/>
      <c r="I223" s="90"/>
      <c r="J223" s="90"/>
    </row>
    <row r="224" spans="1:10" ht="15.75" x14ac:dyDescent="0.25">
      <c r="A224" s="89"/>
      <c r="B224" s="87"/>
      <c r="C224" s="89"/>
      <c r="D224" s="87"/>
      <c r="E224" s="89"/>
      <c r="F224" s="89"/>
      <c r="G224" s="89"/>
      <c r="H224" s="90"/>
      <c r="I224" s="90"/>
      <c r="J224" s="90"/>
    </row>
    <row r="225" spans="1:10" ht="15.75" x14ac:dyDescent="0.25">
      <c r="A225" s="91" t="s">
        <v>38</v>
      </c>
      <c r="B225" s="87"/>
      <c r="C225" s="175">
        <v>0</v>
      </c>
      <c r="D225" s="171"/>
      <c r="E225" s="91"/>
      <c r="F225" s="89"/>
      <c r="G225" s="92"/>
      <c r="H225" s="87"/>
      <c r="I225" s="90"/>
      <c r="J225" s="90"/>
    </row>
    <row r="226" spans="1:10" ht="15.75" x14ac:dyDescent="0.25">
      <c r="A226" s="94" t="s">
        <v>37</v>
      </c>
      <c r="B226" s="87"/>
      <c r="C226" s="176">
        <v>0</v>
      </c>
      <c r="D226" s="171"/>
      <c r="E226" s="91"/>
      <c r="F226" s="89"/>
      <c r="G226" s="95"/>
      <c r="H226" s="87"/>
      <c r="I226" s="90"/>
      <c r="J226" s="90"/>
    </row>
    <row r="227" spans="1:10" ht="15.75" x14ac:dyDescent="0.25">
      <c r="A227" s="96" t="s">
        <v>184</v>
      </c>
      <c r="B227" s="87"/>
      <c r="C227" s="205">
        <f>SUM(C225:C226)</f>
        <v>0</v>
      </c>
      <c r="D227" s="171"/>
      <c r="E227" s="187"/>
      <c r="F227" s="89"/>
      <c r="G227" s="89"/>
      <c r="H227" s="90"/>
      <c r="I227" s="90"/>
      <c r="J227" s="90"/>
    </row>
    <row r="228" spans="1:10" ht="15.75" x14ac:dyDescent="0.25">
      <c r="A228" s="96"/>
      <c r="B228" s="87"/>
      <c r="C228" s="187"/>
      <c r="D228" s="171"/>
      <c r="E228" s="187"/>
      <c r="F228" s="89"/>
      <c r="G228" s="89"/>
      <c r="H228" s="90"/>
      <c r="I228" s="90"/>
      <c r="J228" s="90"/>
    </row>
    <row r="229" spans="1:10" ht="15.75" x14ac:dyDescent="0.25">
      <c r="A229" s="91"/>
      <c r="B229" s="87"/>
      <c r="C229" s="211"/>
      <c r="D229" s="171"/>
      <c r="E229" s="187"/>
      <c r="F229" s="89"/>
      <c r="G229" s="89"/>
      <c r="H229" s="90"/>
      <c r="I229" s="90"/>
      <c r="J229" s="90"/>
    </row>
    <row r="230" spans="1:10" ht="15.75" x14ac:dyDescent="0.25">
      <c r="A230" s="88"/>
      <c r="B230" s="87"/>
      <c r="C230" s="187"/>
      <c r="D230" s="171"/>
      <c r="E230" s="187"/>
      <c r="F230" s="89"/>
      <c r="G230" s="89"/>
      <c r="H230" s="90"/>
      <c r="I230" s="90"/>
      <c r="J230" s="90"/>
    </row>
    <row r="231" spans="1:10" ht="15.75" x14ac:dyDescent="0.25">
      <c r="A231" s="88" t="s">
        <v>198</v>
      </c>
      <c r="B231" s="87"/>
      <c r="C231" s="187"/>
      <c r="D231" s="171"/>
      <c r="E231" s="187"/>
      <c r="F231" s="89"/>
      <c r="G231" s="89"/>
      <c r="H231" s="90"/>
      <c r="I231" s="90"/>
      <c r="J231" s="90"/>
    </row>
    <row r="232" spans="1:10" ht="39" x14ac:dyDescent="0.25">
      <c r="A232" s="96"/>
      <c r="B232" s="87"/>
      <c r="C232" s="99" t="s">
        <v>306</v>
      </c>
      <c r="D232" s="171"/>
      <c r="E232" s="99" t="s">
        <v>174</v>
      </c>
      <c r="F232" s="90"/>
      <c r="G232" s="99" t="s">
        <v>188</v>
      </c>
      <c r="H232" s="99" t="s">
        <v>189</v>
      </c>
      <c r="I232" s="99" t="s">
        <v>190</v>
      </c>
    </row>
    <row r="233" spans="1:10" ht="12" customHeight="1" x14ac:dyDescent="0.25">
      <c r="A233" s="96"/>
      <c r="B233" s="87"/>
      <c r="C233" s="187"/>
      <c r="D233" s="171"/>
      <c r="E233" s="187"/>
      <c r="F233" s="90"/>
      <c r="G233" s="90"/>
      <c r="H233" s="90"/>
    </row>
    <row r="234" spans="1:10" ht="12" customHeight="1" x14ac:dyDescent="0.25">
      <c r="A234" s="96" t="s">
        <v>10</v>
      </c>
      <c r="B234" s="87"/>
      <c r="C234" s="178">
        <v>6824347300.4717379</v>
      </c>
      <c r="D234" s="171"/>
      <c r="E234" s="180">
        <v>0.35991938342165714</v>
      </c>
      <c r="F234" s="21"/>
      <c r="G234" s="137"/>
    </row>
    <row r="235" spans="1:10" ht="12" customHeight="1" x14ac:dyDescent="0.25">
      <c r="A235" s="96"/>
      <c r="B235" s="87"/>
      <c r="C235" s="178"/>
      <c r="D235" s="171"/>
      <c r="E235" s="180"/>
      <c r="F235" s="22"/>
      <c r="G235" s="23"/>
    </row>
    <row r="236" spans="1:10" ht="12" customHeight="1" x14ac:dyDescent="0.25">
      <c r="A236" s="96" t="s">
        <v>2</v>
      </c>
      <c r="B236" s="87"/>
      <c r="C236" s="178">
        <v>2281540064.3074284</v>
      </c>
      <c r="D236" s="171"/>
      <c r="E236" s="180">
        <v>0.1121010213014674</v>
      </c>
      <c r="F236" s="21"/>
      <c r="G236" s="38"/>
    </row>
    <row r="237" spans="1:10" ht="12" customHeight="1" x14ac:dyDescent="0.25">
      <c r="A237" s="96"/>
      <c r="B237" s="87"/>
      <c r="C237" s="178"/>
      <c r="D237" s="171"/>
      <c r="E237" s="180"/>
      <c r="F237" s="21"/>
      <c r="G237" s="22"/>
    </row>
    <row r="238" spans="1:10" ht="12" customHeight="1" x14ac:dyDescent="0.25">
      <c r="A238" s="96" t="s">
        <v>9</v>
      </c>
      <c r="B238" s="87"/>
      <c r="C238" s="178">
        <v>9547826937.2094955</v>
      </c>
      <c r="D238" s="171"/>
      <c r="E238" s="180">
        <v>0.50808709586085887</v>
      </c>
      <c r="F238" s="21"/>
      <c r="G238" s="22">
        <v>25584803.534700777</v>
      </c>
      <c r="H238" s="127">
        <v>4896786.4647400761</v>
      </c>
      <c r="I238" s="127">
        <v>7466013204.8141661</v>
      </c>
    </row>
    <row r="239" spans="1:10" ht="12" customHeight="1" x14ac:dyDescent="0.25">
      <c r="A239" s="96"/>
      <c r="B239" s="87"/>
      <c r="C239" s="178"/>
      <c r="D239" s="171"/>
      <c r="E239" s="180"/>
      <c r="F239" s="24"/>
      <c r="G239" s="23"/>
    </row>
    <row r="240" spans="1:10" ht="12" customHeight="1" x14ac:dyDescent="0.25">
      <c r="A240" s="96" t="s">
        <v>8</v>
      </c>
      <c r="B240" s="87"/>
      <c r="C240" s="178">
        <v>335163783.59592795</v>
      </c>
      <c r="D240" s="171"/>
      <c r="E240" s="180">
        <v>1.5475130246228404E-2</v>
      </c>
      <c r="F240" s="21"/>
      <c r="G240" s="38"/>
    </row>
    <row r="241" spans="1:9" ht="12" customHeight="1" x14ac:dyDescent="0.25">
      <c r="A241" s="89"/>
      <c r="B241" s="87"/>
      <c r="C241" s="178"/>
      <c r="D241" s="171"/>
      <c r="E241" s="183"/>
      <c r="F241" s="24"/>
      <c r="G241" s="22"/>
    </row>
    <row r="242" spans="1:9" ht="12" customHeight="1" x14ac:dyDescent="0.25">
      <c r="A242" s="89" t="s">
        <v>0</v>
      </c>
      <c r="B242" s="87"/>
      <c r="C242" s="154">
        <v>79987055</v>
      </c>
      <c r="D242" s="171"/>
      <c r="E242" s="190">
        <v>4.4173691697880326E-3</v>
      </c>
      <c r="F242" s="22"/>
      <c r="G242" s="38"/>
    </row>
    <row r="243" spans="1:9" ht="12" customHeight="1" x14ac:dyDescent="0.25">
      <c r="A243" s="89"/>
      <c r="B243" s="87"/>
      <c r="C243" s="89"/>
      <c r="D243" s="87"/>
      <c r="E243" s="102"/>
      <c r="F243" s="90"/>
      <c r="G243" s="90"/>
    </row>
    <row r="244" spans="1:9" ht="12" customHeight="1" x14ac:dyDescent="0.25">
      <c r="A244" s="89" t="s">
        <v>34</v>
      </c>
      <c r="B244" s="87"/>
      <c r="C244" s="100">
        <f>SUM(C234:C242)</f>
        <v>19068865140.584591</v>
      </c>
      <c r="D244" s="103"/>
      <c r="E244" s="102">
        <f>SUM(E234:E242)</f>
        <v>0.99999999999999989</v>
      </c>
      <c r="F244" s="90"/>
      <c r="G244" s="90"/>
    </row>
    <row r="245" spans="1:9" ht="12" customHeight="1" x14ac:dyDescent="0.25">
      <c r="A245" s="89"/>
      <c r="B245" s="87"/>
      <c r="C245" s="89"/>
      <c r="D245" s="87"/>
      <c r="E245" s="89"/>
      <c r="H245" s="90"/>
      <c r="I245" s="90"/>
    </row>
    <row r="246" spans="1:9" ht="12" customHeight="1" x14ac:dyDescent="0.25">
      <c r="A246" s="89"/>
      <c r="B246" s="87"/>
      <c r="C246" s="89"/>
      <c r="D246" s="87"/>
      <c r="E246" s="89"/>
      <c r="F246" s="25"/>
      <c r="G246" s="104"/>
      <c r="H246" s="90"/>
      <c r="I246" s="90"/>
    </row>
    <row r="247" spans="1:9" ht="12" customHeight="1" thickBot="1" x14ac:dyDescent="0.3">
      <c r="A247" s="88" t="s">
        <v>199</v>
      </c>
      <c r="B247" s="87"/>
      <c r="C247" s="89"/>
      <c r="D247" s="87"/>
      <c r="E247" s="89"/>
      <c r="F247" s="89"/>
      <c r="G247" s="89"/>
      <c r="H247" s="90"/>
      <c r="I247" s="90"/>
    </row>
    <row r="248" spans="1:9" ht="39" x14ac:dyDescent="0.25">
      <c r="A248" s="89"/>
      <c r="B248" s="89"/>
      <c r="C248" s="99" t="s">
        <v>200</v>
      </c>
      <c r="D248" s="105"/>
      <c r="E248" s="99" t="s">
        <v>201</v>
      </c>
      <c r="F248" s="99" t="s">
        <v>202</v>
      </c>
      <c r="G248" s="89"/>
      <c r="H248" s="234" t="s">
        <v>196</v>
      </c>
      <c r="I248" s="235"/>
    </row>
    <row r="249" spans="1:9" ht="12" customHeight="1" x14ac:dyDescent="0.25">
      <c r="A249" s="89"/>
      <c r="B249" s="89"/>
      <c r="C249" s="103"/>
      <c r="D249" s="103"/>
      <c r="E249" s="103"/>
      <c r="F249" s="103"/>
      <c r="G249" s="89"/>
      <c r="H249" s="236"/>
      <c r="I249" s="237"/>
    </row>
    <row r="250" spans="1:9" ht="12" customHeight="1" x14ac:dyDescent="0.25">
      <c r="A250" s="89" t="s">
        <v>10</v>
      </c>
      <c r="B250" s="89"/>
      <c r="C250" s="107">
        <f>$C$227*E234</f>
        <v>0</v>
      </c>
      <c r="D250" s="103"/>
      <c r="E250" s="138"/>
      <c r="F250" s="108">
        <f>C250/C234</f>
        <v>0</v>
      </c>
      <c r="G250" s="89"/>
      <c r="H250" s="236"/>
      <c r="I250" s="237"/>
    </row>
    <row r="251" spans="1:9" ht="12" customHeight="1" x14ac:dyDescent="0.25">
      <c r="A251" s="89"/>
      <c r="B251" s="89"/>
      <c r="C251" s="107"/>
      <c r="D251" s="103"/>
      <c r="E251" s="103"/>
      <c r="F251" s="108"/>
      <c r="G251" s="89"/>
      <c r="H251" s="236"/>
      <c r="I251" s="237"/>
    </row>
    <row r="252" spans="1:9" ht="12" customHeight="1" x14ac:dyDescent="0.25">
      <c r="A252" s="89" t="s">
        <v>2</v>
      </c>
      <c r="B252" s="89"/>
      <c r="C252" s="107">
        <f>$C$227*E236</f>
        <v>0</v>
      </c>
      <c r="D252" s="103"/>
      <c r="E252" s="138"/>
      <c r="F252" s="108">
        <f>C252/C236</f>
        <v>0</v>
      </c>
      <c r="G252" s="89"/>
      <c r="H252" s="236"/>
      <c r="I252" s="237"/>
    </row>
    <row r="253" spans="1:9" ht="12" customHeight="1" x14ac:dyDescent="0.25">
      <c r="A253" s="89"/>
      <c r="B253" s="89"/>
      <c r="C253" s="107"/>
      <c r="D253" s="103"/>
      <c r="E253" s="103"/>
      <c r="F253" s="110"/>
      <c r="G253" s="89"/>
      <c r="H253" s="236"/>
      <c r="I253" s="237"/>
    </row>
    <row r="254" spans="1:9" ht="12" customHeight="1" x14ac:dyDescent="0.25">
      <c r="A254" s="89" t="s">
        <v>9</v>
      </c>
      <c r="B254" s="89"/>
      <c r="C254" s="107">
        <f>$C$227*E238</f>
        <v>0</v>
      </c>
      <c r="D254" s="103"/>
      <c r="E254" s="39">
        <f>C254/G238</f>
        <v>0</v>
      </c>
      <c r="F254" s="108">
        <f>(C254-(E254*H238))/I238</f>
        <v>0</v>
      </c>
      <c r="G254" s="89"/>
      <c r="H254" s="236"/>
      <c r="I254" s="237"/>
    </row>
    <row r="255" spans="1:9" ht="12" customHeight="1" x14ac:dyDescent="0.25">
      <c r="A255" s="89"/>
      <c r="B255" s="89"/>
      <c r="C255" s="107"/>
      <c r="D255" s="103"/>
      <c r="E255" s="103"/>
      <c r="F255" s="110"/>
      <c r="G255" s="89"/>
      <c r="H255" s="236"/>
      <c r="I255" s="237"/>
    </row>
    <row r="256" spans="1:9" ht="12" customHeight="1" x14ac:dyDescent="0.25">
      <c r="A256" s="89" t="s">
        <v>8</v>
      </c>
      <c r="B256" s="89"/>
      <c r="C256" s="107">
        <f>$C$227*E240</f>
        <v>0</v>
      </c>
      <c r="D256" s="103"/>
      <c r="E256" s="138"/>
      <c r="F256" s="108">
        <f>C256/C240</f>
        <v>0</v>
      </c>
      <c r="G256" s="89"/>
      <c r="H256" s="236"/>
      <c r="I256" s="237"/>
    </row>
    <row r="257" spans="1:10" ht="12" customHeight="1" x14ac:dyDescent="0.25">
      <c r="A257" s="89"/>
      <c r="B257" s="89"/>
      <c r="C257" s="107"/>
      <c r="D257" s="103"/>
      <c r="E257" s="103"/>
      <c r="F257" s="108"/>
      <c r="G257" s="89"/>
      <c r="H257" s="236"/>
      <c r="I257" s="237"/>
    </row>
    <row r="258" spans="1:10" ht="12" customHeight="1" x14ac:dyDescent="0.25">
      <c r="A258" s="89" t="s">
        <v>0</v>
      </c>
      <c r="B258" s="89"/>
      <c r="C258" s="111">
        <f>$C$227*E242</f>
        <v>0</v>
      </c>
      <c r="D258" s="103"/>
      <c r="E258" s="138"/>
      <c r="F258" s="112">
        <f>C258/C242</f>
        <v>0</v>
      </c>
      <c r="G258" s="89"/>
      <c r="H258" s="236"/>
      <c r="I258" s="237"/>
    </row>
    <row r="259" spans="1:10" ht="12" customHeight="1" x14ac:dyDescent="0.25">
      <c r="A259" s="89"/>
      <c r="B259" s="89"/>
      <c r="C259" s="107"/>
      <c r="D259" s="103"/>
      <c r="E259" s="103"/>
      <c r="F259" s="108"/>
      <c r="G259" s="89"/>
      <c r="H259" s="236"/>
      <c r="I259" s="237"/>
    </row>
    <row r="260" spans="1:10" ht="12" customHeight="1" thickBot="1" x14ac:dyDescent="0.3">
      <c r="A260" s="96" t="s">
        <v>29</v>
      </c>
      <c r="B260" s="89"/>
      <c r="C260" s="107">
        <f>SUM(C250:C259)</f>
        <v>0</v>
      </c>
      <c r="D260" s="103"/>
      <c r="E260" s="103"/>
      <c r="F260" s="113">
        <f>C260/C244</f>
        <v>0</v>
      </c>
      <c r="G260" s="89"/>
      <c r="H260" s="238"/>
      <c r="I260" s="239"/>
    </row>
    <row r="261" spans="1:10" ht="12" customHeight="1" x14ac:dyDescent="0.25">
      <c r="A261" s="89"/>
      <c r="B261" s="87"/>
      <c r="C261" s="89"/>
      <c r="D261" s="87"/>
      <c r="E261" s="89"/>
      <c r="F261" s="26"/>
      <c r="G261" s="114"/>
      <c r="H261" s="90"/>
      <c r="I261" s="90"/>
      <c r="J261" s="90"/>
    </row>
    <row r="262" spans="1:10" ht="12" customHeight="1" x14ac:dyDescent="0.25">
      <c r="A262" s="115"/>
      <c r="B262" s="115"/>
      <c r="C262" s="139"/>
      <c r="D262" s="89"/>
      <c r="E262" s="89"/>
      <c r="F262" s="89"/>
      <c r="G262" s="89"/>
    </row>
    <row r="263" spans="1:10" ht="12" customHeight="1" x14ac:dyDescent="0.25">
      <c r="A263" s="115"/>
      <c r="B263" s="115"/>
      <c r="C263" s="139"/>
      <c r="D263" s="89"/>
      <c r="E263" s="89"/>
      <c r="F263" s="89"/>
      <c r="G263" s="89"/>
    </row>
    <row r="264" spans="1:10" ht="12" customHeight="1" x14ac:dyDescent="0.25">
      <c r="A264" s="88" t="s">
        <v>279</v>
      </c>
      <c r="B264" s="87"/>
      <c r="C264" s="89"/>
      <c r="D264" s="87"/>
      <c r="E264" s="89"/>
      <c r="F264" s="89"/>
      <c r="G264" s="89"/>
    </row>
    <row r="265" spans="1:10" ht="12" customHeight="1" x14ac:dyDescent="0.25">
      <c r="A265" s="89"/>
      <c r="B265" s="87"/>
      <c r="C265" s="89"/>
      <c r="D265" s="87"/>
      <c r="E265" s="89"/>
      <c r="F265" s="89"/>
      <c r="G265" s="89"/>
    </row>
    <row r="266" spans="1:10" ht="12" customHeight="1" x14ac:dyDescent="0.25">
      <c r="A266" s="91" t="s">
        <v>38</v>
      </c>
      <c r="B266" s="87"/>
      <c r="C266" s="175">
        <v>32645</v>
      </c>
      <c r="D266" s="171"/>
      <c r="E266" s="91"/>
      <c r="F266" s="187"/>
      <c r="G266" s="92"/>
    </row>
    <row r="267" spans="1:10" ht="12" customHeight="1" x14ac:dyDescent="0.25">
      <c r="A267" s="94" t="s">
        <v>37</v>
      </c>
      <c r="B267" s="87"/>
      <c r="C267" s="176">
        <v>14000</v>
      </c>
      <c r="D267" s="171"/>
      <c r="E267" s="91"/>
      <c r="F267" s="187"/>
      <c r="G267" s="95"/>
    </row>
    <row r="268" spans="1:10" ht="12" customHeight="1" x14ac:dyDescent="0.25">
      <c r="A268" s="96" t="s">
        <v>184</v>
      </c>
      <c r="B268" s="87"/>
      <c r="C268" s="205">
        <f>SUM(C266:C267)</f>
        <v>46645</v>
      </c>
      <c r="D268" s="171"/>
      <c r="E268" s="187"/>
      <c r="F268" s="187"/>
      <c r="G268" s="187"/>
    </row>
    <row r="269" spans="1:10" ht="12" customHeight="1" x14ac:dyDescent="0.25">
      <c r="A269" s="96"/>
      <c r="B269" s="87"/>
      <c r="C269" s="187"/>
      <c r="D269" s="171"/>
      <c r="E269" s="187"/>
      <c r="F269" s="187"/>
      <c r="G269" s="187"/>
    </row>
    <row r="270" spans="1:10" ht="12" customHeight="1" x14ac:dyDescent="0.25">
      <c r="A270" s="91"/>
      <c r="B270" s="87"/>
      <c r="C270" s="211"/>
      <c r="D270" s="171"/>
      <c r="E270" s="187"/>
      <c r="F270" s="187"/>
      <c r="G270" s="187"/>
    </row>
    <row r="271" spans="1:10" ht="12" customHeight="1" x14ac:dyDescent="0.25">
      <c r="A271" s="88"/>
      <c r="B271" s="87"/>
      <c r="C271" s="187"/>
      <c r="D271" s="171"/>
      <c r="E271" s="187"/>
      <c r="F271" s="187"/>
      <c r="G271" s="187"/>
    </row>
    <row r="272" spans="1:10" ht="12" customHeight="1" x14ac:dyDescent="0.25">
      <c r="A272" s="88" t="s">
        <v>280</v>
      </c>
      <c r="B272" s="87"/>
      <c r="C272" s="187"/>
      <c r="D272" s="171"/>
      <c r="E272" s="187"/>
      <c r="F272" s="187"/>
      <c r="G272" s="187"/>
    </row>
    <row r="273" spans="1:7" ht="41.45" customHeight="1" x14ac:dyDescent="0.25">
      <c r="A273" s="96"/>
      <c r="B273" s="87"/>
      <c r="C273" s="99" t="s">
        <v>306</v>
      </c>
      <c r="D273" s="171"/>
      <c r="E273" s="99" t="s">
        <v>49</v>
      </c>
      <c r="F273" s="99" t="s">
        <v>48</v>
      </c>
      <c r="G273" s="99" t="s">
        <v>174</v>
      </c>
    </row>
    <row r="274" spans="1:7" ht="12" customHeight="1" x14ac:dyDescent="0.25">
      <c r="A274" s="96"/>
      <c r="B274" s="87"/>
      <c r="C274" s="187"/>
      <c r="D274" s="171"/>
      <c r="E274" s="187"/>
      <c r="F274" s="187"/>
      <c r="G274" s="187"/>
    </row>
    <row r="275" spans="1:7" ht="12" customHeight="1" x14ac:dyDescent="0.25">
      <c r="A275" s="96" t="s">
        <v>10</v>
      </c>
      <c r="B275" s="87"/>
      <c r="C275" s="178">
        <v>6824347300.4717379</v>
      </c>
      <c r="D275" s="171"/>
      <c r="E275" s="178">
        <v>1017031805.9190587</v>
      </c>
      <c r="F275" s="179">
        <f>C275-E275</f>
        <v>5807315494.5526791</v>
      </c>
      <c r="G275" s="180">
        <v>0.32469012958724708</v>
      </c>
    </row>
    <row r="276" spans="1:7" ht="12" customHeight="1" x14ac:dyDescent="0.25">
      <c r="A276" s="96"/>
      <c r="B276" s="87"/>
      <c r="C276" s="178"/>
      <c r="D276" s="171"/>
      <c r="E276" s="181"/>
      <c r="F276" s="179"/>
      <c r="G276" s="180"/>
    </row>
    <row r="277" spans="1:7" ht="12" customHeight="1" x14ac:dyDescent="0.25">
      <c r="A277" s="96" t="s">
        <v>2</v>
      </c>
      <c r="B277" s="87"/>
      <c r="C277" s="178">
        <v>2281540064.3074284</v>
      </c>
      <c r="D277" s="171"/>
      <c r="E277" s="178">
        <v>2245116.7008786984</v>
      </c>
      <c r="F277" s="179">
        <f>C277-E277</f>
        <v>2279294947.6065497</v>
      </c>
      <c r="G277" s="180">
        <v>0.11911757788890198</v>
      </c>
    </row>
    <row r="278" spans="1:7" ht="12" customHeight="1" x14ac:dyDescent="0.25">
      <c r="A278" s="96"/>
      <c r="B278" s="87"/>
      <c r="C278" s="178"/>
      <c r="D278" s="171"/>
      <c r="E278" s="178"/>
      <c r="F278" s="179"/>
      <c r="G278" s="180"/>
    </row>
    <row r="279" spans="1:7" ht="12" customHeight="1" x14ac:dyDescent="0.25">
      <c r="A279" s="96" t="s">
        <v>9</v>
      </c>
      <c r="B279" s="87"/>
      <c r="C279" s="178">
        <v>9547826937.2094955</v>
      </c>
      <c r="D279" s="171"/>
      <c r="E279" s="178">
        <v>14909881.589093516</v>
      </c>
      <c r="F279" s="179">
        <f>C279-E279</f>
        <v>9532917055.6204014</v>
      </c>
      <c r="G279" s="180">
        <v>0.5397275811009683</v>
      </c>
    </row>
    <row r="280" spans="1:7" ht="12" customHeight="1" x14ac:dyDescent="0.25">
      <c r="A280" s="96"/>
      <c r="B280" s="87"/>
      <c r="C280" s="178"/>
      <c r="D280" s="171"/>
      <c r="E280" s="179"/>
      <c r="F280" s="179"/>
      <c r="G280" s="180"/>
    </row>
    <row r="281" spans="1:7" ht="12" customHeight="1" x14ac:dyDescent="0.25">
      <c r="A281" s="96" t="s">
        <v>8</v>
      </c>
      <c r="B281" s="87"/>
      <c r="C281" s="178">
        <v>335163783.59592795</v>
      </c>
      <c r="D281" s="171"/>
      <c r="E281" s="182"/>
      <c r="F281" s="179">
        <f>C281-E281</f>
        <v>335163783.59592795</v>
      </c>
      <c r="G281" s="180">
        <v>1.6464711422882472E-2</v>
      </c>
    </row>
    <row r="282" spans="1:7" ht="12" customHeight="1" x14ac:dyDescent="0.25">
      <c r="A282" s="89"/>
      <c r="B282" s="87"/>
      <c r="C282" s="178"/>
      <c r="D282" s="171"/>
      <c r="E282" s="182"/>
      <c r="F282" s="179"/>
      <c r="G282" s="183"/>
    </row>
    <row r="283" spans="1:7" ht="12" customHeight="1" x14ac:dyDescent="0.25">
      <c r="A283" s="89" t="s">
        <v>0</v>
      </c>
      <c r="B283" s="87"/>
      <c r="C283" s="154">
        <v>79987055</v>
      </c>
      <c r="D283" s="171"/>
      <c r="E283" s="199"/>
      <c r="F283" s="204">
        <v>0</v>
      </c>
      <c r="G283" s="190">
        <v>0</v>
      </c>
    </row>
    <row r="284" spans="1:7" ht="12" customHeight="1" x14ac:dyDescent="0.25">
      <c r="A284" s="89"/>
      <c r="B284" s="87"/>
      <c r="C284" s="89"/>
      <c r="D284" s="87"/>
      <c r="E284" s="89"/>
      <c r="F284" s="89"/>
      <c r="G284" s="102"/>
    </row>
    <row r="285" spans="1:7" ht="12" customHeight="1" x14ac:dyDescent="0.25">
      <c r="A285" s="89" t="s">
        <v>34</v>
      </c>
      <c r="B285" s="87"/>
      <c r="C285" s="100">
        <f>SUM(C275:C283)</f>
        <v>19068865140.584591</v>
      </c>
      <c r="D285" s="103" t="s">
        <v>33</v>
      </c>
      <c r="E285" s="100">
        <f>SUM(E275:E283)</f>
        <v>1034186804.209031</v>
      </c>
      <c r="F285" s="100">
        <f>SUM(F275:F283)</f>
        <v>17954691281.375561</v>
      </c>
      <c r="G285" s="102">
        <f>SUM(G275:G281)</f>
        <v>0.99999999999999978</v>
      </c>
    </row>
    <row r="286" spans="1:7" ht="12" customHeight="1" x14ac:dyDescent="0.25">
      <c r="A286" s="89"/>
      <c r="B286" s="87"/>
      <c r="C286" s="89"/>
      <c r="D286" s="87"/>
      <c r="E286" s="89"/>
    </row>
    <row r="287" spans="1:7" ht="12" customHeight="1" x14ac:dyDescent="0.25">
      <c r="A287" s="89"/>
      <c r="B287" s="87"/>
      <c r="C287" s="89"/>
      <c r="D287" s="87"/>
      <c r="E287" s="89"/>
      <c r="F287" s="25"/>
      <c r="G287" s="165"/>
    </row>
    <row r="288" spans="1:7" ht="12" customHeight="1" x14ac:dyDescent="0.25">
      <c r="A288" s="88" t="s">
        <v>281</v>
      </c>
      <c r="B288" s="87"/>
      <c r="C288" s="89"/>
      <c r="D288" s="87"/>
      <c r="E288" s="89"/>
      <c r="F288" s="89"/>
      <c r="G288" s="89"/>
    </row>
    <row r="289" spans="1:7" ht="54" customHeight="1" x14ac:dyDescent="0.25">
      <c r="A289" s="89"/>
      <c r="B289" s="89"/>
      <c r="C289" s="99" t="s">
        <v>282</v>
      </c>
      <c r="D289" s="105"/>
      <c r="E289" s="99" t="s">
        <v>283</v>
      </c>
      <c r="F289" s="89"/>
      <c r="G289" s="89"/>
    </row>
    <row r="290" spans="1:7" ht="12" customHeight="1" x14ac:dyDescent="0.25">
      <c r="A290" s="89"/>
      <c r="B290" s="89"/>
      <c r="C290" s="103"/>
      <c r="D290" s="103"/>
      <c r="E290" s="103"/>
      <c r="F290" s="89"/>
      <c r="G290" s="106"/>
    </row>
    <row r="291" spans="1:7" ht="12" customHeight="1" x14ac:dyDescent="0.25">
      <c r="A291" s="89" t="s">
        <v>10</v>
      </c>
      <c r="B291" s="89"/>
      <c r="C291" s="140">
        <f>$C$268*G275</f>
        <v>15145.171094597141</v>
      </c>
      <c r="D291" s="103"/>
      <c r="E291" s="108">
        <f>C291/F275</f>
        <v>2.6079470124885524E-6</v>
      </c>
      <c r="F291" s="89"/>
      <c r="G291" s="109"/>
    </row>
    <row r="292" spans="1:7" ht="12" customHeight="1" x14ac:dyDescent="0.25">
      <c r="A292" s="89"/>
      <c r="B292" s="89"/>
      <c r="C292" s="107"/>
      <c r="D292" s="103"/>
      <c r="E292" s="108"/>
      <c r="F292" s="89"/>
      <c r="G292" s="89"/>
    </row>
    <row r="293" spans="1:7" ht="12" customHeight="1" x14ac:dyDescent="0.25">
      <c r="A293" s="89" t="s">
        <v>2</v>
      </c>
      <c r="B293" s="89"/>
      <c r="C293" s="140">
        <f>$C$268*G277</f>
        <v>5556.2394206278332</v>
      </c>
      <c r="D293" s="103"/>
      <c r="E293" s="108">
        <f>C293/F277</f>
        <v>2.4377009331163348E-6</v>
      </c>
      <c r="F293" s="89"/>
      <c r="G293" s="89"/>
    </row>
    <row r="294" spans="1:7" ht="12" customHeight="1" x14ac:dyDescent="0.25">
      <c r="A294" s="89"/>
      <c r="B294" s="89"/>
      <c r="C294" s="107"/>
      <c r="D294" s="103"/>
      <c r="E294" s="110"/>
      <c r="F294" s="89"/>
      <c r="G294" s="89"/>
    </row>
    <row r="295" spans="1:7" ht="12" customHeight="1" x14ac:dyDescent="0.25">
      <c r="A295" s="89" t="s">
        <v>9</v>
      </c>
      <c r="B295" s="89"/>
      <c r="C295" s="140">
        <f>$C$268*G279</f>
        <v>25175.593020454668</v>
      </c>
      <c r="D295" s="103"/>
      <c r="E295" s="108">
        <f>C295/F279</f>
        <v>2.64091178739583E-6</v>
      </c>
      <c r="F295" s="89"/>
      <c r="G295" s="89"/>
    </row>
    <row r="296" spans="1:7" ht="12" customHeight="1" x14ac:dyDescent="0.25">
      <c r="A296" s="89"/>
      <c r="B296" s="89"/>
      <c r="C296" s="107"/>
      <c r="D296" s="103"/>
      <c r="E296" s="108"/>
      <c r="F296" s="89"/>
      <c r="G296" s="89"/>
    </row>
    <row r="297" spans="1:7" ht="12" customHeight="1" x14ac:dyDescent="0.25">
      <c r="A297" s="89" t="s">
        <v>8</v>
      </c>
      <c r="B297" s="89"/>
      <c r="C297" s="141">
        <f>$C$268*G281</f>
        <v>767.99646432035286</v>
      </c>
      <c r="D297" s="103"/>
      <c r="E297" s="112">
        <f>C297/F281</f>
        <v>2.2914064762028292E-6</v>
      </c>
      <c r="F297" s="89"/>
      <c r="G297" s="89"/>
    </row>
    <row r="298" spans="1:7" ht="12" customHeight="1" x14ac:dyDescent="0.25">
      <c r="A298" s="89"/>
      <c r="B298" s="89"/>
      <c r="C298" s="107"/>
      <c r="D298" s="103"/>
      <c r="E298" s="108"/>
      <c r="F298" s="89"/>
      <c r="G298" s="89"/>
    </row>
    <row r="299" spans="1:7" ht="12" customHeight="1" x14ac:dyDescent="0.25">
      <c r="A299" s="96" t="s">
        <v>29</v>
      </c>
      <c r="B299" s="89"/>
      <c r="C299" s="107">
        <f>SUM(C291:C298)</f>
        <v>46644.999999999993</v>
      </c>
      <c r="D299" s="103"/>
      <c r="E299" s="113">
        <f>C299/F285</f>
        <v>2.5979282667134995E-6</v>
      </c>
      <c r="F299" s="89"/>
      <c r="G299" s="89"/>
    </row>
    <row r="300" spans="1:7" ht="12" customHeight="1" x14ac:dyDescent="0.25">
      <c r="A300" s="89"/>
      <c r="B300" s="87"/>
      <c r="C300" s="89"/>
      <c r="D300" s="87"/>
      <c r="E300" s="89"/>
      <c r="F300" s="26"/>
      <c r="G300" s="114"/>
    </row>
    <row r="301" spans="1:7" ht="12" customHeight="1" x14ac:dyDescent="0.25">
      <c r="A301" s="115"/>
      <c r="B301" s="115"/>
      <c r="C301" s="104"/>
      <c r="D301" s="89"/>
      <c r="E301" s="89"/>
      <c r="F301" s="89"/>
      <c r="G301" s="89"/>
    </row>
    <row r="302" spans="1:7" ht="12" customHeight="1" x14ac:dyDescent="0.25">
      <c r="A302" s="136" t="s">
        <v>284</v>
      </c>
      <c r="B302" s="115"/>
      <c r="C302" s="139"/>
      <c r="D302" s="89"/>
      <c r="E302" s="89"/>
      <c r="F302" s="89"/>
      <c r="G302" s="89"/>
    </row>
    <row r="303" spans="1:7" ht="12" customHeight="1" x14ac:dyDescent="0.25">
      <c r="A303" s="136"/>
      <c r="B303" s="115"/>
      <c r="C303" s="139"/>
      <c r="D303" s="89"/>
      <c r="E303" s="89"/>
      <c r="F303" s="89"/>
      <c r="G303" s="89"/>
    </row>
    <row r="304" spans="1:7" ht="12" customHeight="1" x14ac:dyDescent="0.25">
      <c r="A304" s="88" t="s">
        <v>307</v>
      </c>
      <c r="B304" s="171"/>
      <c r="C304" s="187"/>
      <c r="D304" s="187"/>
      <c r="E304" s="187"/>
      <c r="F304" s="187"/>
      <c r="G304" s="187"/>
    </row>
    <row r="305" spans="1:7" ht="12" customHeight="1" x14ac:dyDescent="0.25">
      <c r="A305" s="187"/>
      <c r="B305" s="171"/>
      <c r="C305" s="187"/>
      <c r="D305" s="187"/>
      <c r="E305" s="187"/>
      <c r="F305" s="187"/>
      <c r="G305" s="187"/>
    </row>
    <row r="306" spans="1:7" ht="12" customHeight="1" x14ac:dyDescent="0.25">
      <c r="A306" s="91" t="s">
        <v>38</v>
      </c>
      <c r="B306" s="171"/>
      <c r="C306" s="175">
        <v>0</v>
      </c>
      <c r="D306" s="187"/>
      <c r="E306" s="187"/>
      <c r="F306" s="187"/>
      <c r="G306" s="187"/>
    </row>
    <row r="307" spans="1:7" ht="12" customHeight="1" x14ac:dyDescent="0.25">
      <c r="A307" s="94" t="s">
        <v>37</v>
      </c>
      <c r="B307" s="171"/>
      <c r="C307" s="176">
        <v>21354984</v>
      </c>
      <c r="D307" s="187"/>
      <c r="E307" s="187"/>
      <c r="F307" s="187"/>
      <c r="G307" s="187"/>
    </row>
    <row r="308" spans="1:7" ht="12" customHeight="1" x14ac:dyDescent="0.25">
      <c r="A308" s="227" t="s">
        <v>184</v>
      </c>
      <c r="B308" s="171"/>
      <c r="C308" s="205">
        <f>SUM(C306:C307)</f>
        <v>21354984</v>
      </c>
      <c r="D308" s="187"/>
      <c r="E308" s="187"/>
      <c r="F308" s="187"/>
      <c r="G308" s="187"/>
    </row>
    <row r="309" spans="1:7" ht="12" customHeight="1" x14ac:dyDescent="0.25">
      <c r="A309" s="136"/>
      <c r="B309" s="91"/>
      <c r="C309" s="206"/>
      <c r="D309" s="187"/>
      <c r="E309" s="187"/>
      <c r="F309" s="187"/>
      <c r="G309" s="187"/>
    </row>
    <row r="310" spans="1:7" ht="12" customHeight="1" x14ac:dyDescent="0.25">
      <c r="A310" s="88" t="s">
        <v>302</v>
      </c>
      <c r="B310" s="187"/>
      <c r="C310" s="187"/>
      <c r="D310" s="187"/>
      <c r="E310" s="187"/>
      <c r="F310" s="187"/>
      <c r="G310" s="187"/>
    </row>
    <row r="311" spans="1:7" ht="12" customHeight="1" x14ac:dyDescent="0.25">
      <c r="A311" s="227"/>
      <c r="B311" s="187"/>
      <c r="C311" s="99" t="str">
        <f>$C$13</f>
        <v>2019 Sales Forecast
(kWh)</v>
      </c>
      <c r="D311" s="187"/>
      <c r="E311" s="99" t="s">
        <v>174</v>
      </c>
      <c r="F311" s="99" t="s">
        <v>303</v>
      </c>
      <c r="G311" s="99" t="s">
        <v>304</v>
      </c>
    </row>
    <row r="312" spans="1:7" ht="12" customHeight="1" x14ac:dyDescent="0.25">
      <c r="A312" s="227"/>
      <c r="B312" s="187"/>
      <c r="C312" s="119"/>
      <c r="D312" s="187"/>
      <c r="E312" s="119"/>
      <c r="F312" s="119"/>
      <c r="G312" s="187"/>
    </row>
    <row r="313" spans="1:7" ht="12" customHeight="1" x14ac:dyDescent="0.25">
      <c r="A313" s="227" t="s">
        <v>10</v>
      </c>
      <c r="B313" s="187"/>
      <c r="C313" s="178">
        <v>6824347300.4717379</v>
      </c>
      <c r="D313" s="187"/>
      <c r="E313" s="180">
        <v>0.43129445257131888</v>
      </c>
      <c r="F313" s="189">
        <f>E313*C308</f>
        <v>9210286.1339492742</v>
      </c>
      <c r="G313" s="207">
        <f>F313/C313</f>
        <v>1.3496215430467038E-3</v>
      </c>
    </row>
    <row r="314" spans="1:7" ht="12" customHeight="1" x14ac:dyDescent="0.25">
      <c r="A314" s="227"/>
      <c r="B314" s="187"/>
      <c r="C314" s="178"/>
      <c r="D314" s="187"/>
      <c r="E314" s="180"/>
      <c r="F314" s="189"/>
      <c r="G314" s="207"/>
    </row>
    <row r="315" spans="1:7" ht="12" customHeight="1" x14ac:dyDescent="0.25">
      <c r="A315" s="227" t="s">
        <v>2</v>
      </c>
      <c r="B315" s="187"/>
      <c r="C315" s="178">
        <v>2281540064.3074284</v>
      </c>
      <c r="D315" s="187"/>
      <c r="E315" s="180">
        <v>0.10527100527405202</v>
      </c>
      <c r="F315" s="189">
        <f>E315*C308</f>
        <v>2248060.6332912967</v>
      </c>
      <c r="G315" s="207">
        <f>F315/C315</f>
        <v>9.8532595086104941E-4</v>
      </c>
    </row>
    <row r="316" spans="1:7" ht="12" customHeight="1" x14ac:dyDescent="0.25">
      <c r="A316" s="227"/>
      <c r="B316" s="187"/>
      <c r="C316" s="178"/>
      <c r="D316" s="187"/>
      <c r="E316" s="180"/>
      <c r="F316" s="189"/>
      <c r="G316" s="207"/>
    </row>
    <row r="317" spans="1:7" ht="12" customHeight="1" x14ac:dyDescent="0.25">
      <c r="A317" s="227" t="s">
        <v>9</v>
      </c>
      <c r="B317" s="187"/>
      <c r="C317" s="178">
        <v>9547826937.2094955</v>
      </c>
      <c r="D317" s="187"/>
      <c r="E317" s="180">
        <v>0.4499459816878954</v>
      </c>
      <c r="F317" s="189">
        <f>E317*C308</f>
        <v>9608589.2398092989</v>
      </c>
      <c r="G317" s="207">
        <f>F317/C317</f>
        <v>1.0063639928749653E-3</v>
      </c>
    </row>
    <row r="318" spans="1:7" ht="12" customHeight="1" x14ac:dyDescent="0.25">
      <c r="A318" s="227"/>
      <c r="B318" s="187"/>
      <c r="C318" s="178"/>
      <c r="D318" s="187"/>
      <c r="E318" s="180"/>
      <c r="F318" s="189"/>
      <c r="G318" s="207"/>
    </row>
    <row r="319" spans="1:7" ht="12" customHeight="1" x14ac:dyDescent="0.25">
      <c r="A319" s="227" t="s">
        <v>8</v>
      </c>
      <c r="B319" s="187"/>
      <c r="C319" s="178">
        <v>335163783.59592795</v>
      </c>
      <c r="D319" s="187"/>
      <c r="E319" s="180">
        <v>1.0561380974623356E-2</v>
      </c>
      <c r="F319" s="189">
        <f>E319*C308</f>
        <v>225538.12173098617</v>
      </c>
      <c r="G319" s="207">
        <f>F319/C319</f>
        <v>6.7291913019723506E-4</v>
      </c>
    </row>
    <row r="320" spans="1:7" ht="12" customHeight="1" x14ac:dyDescent="0.25">
      <c r="A320" s="227"/>
      <c r="B320" s="187"/>
      <c r="C320" s="178"/>
      <c r="D320" s="187"/>
      <c r="E320" s="180"/>
      <c r="F320" s="189"/>
      <c r="G320" s="207"/>
    </row>
    <row r="321" spans="1:7" ht="12" customHeight="1" x14ac:dyDescent="0.25">
      <c r="A321" s="227" t="s">
        <v>0</v>
      </c>
      <c r="B321" s="187"/>
      <c r="C321" s="154">
        <v>79987055</v>
      </c>
      <c r="D321" s="187"/>
      <c r="E321" s="208">
        <v>2.9271794921103471E-3</v>
      </c>
      <c r="F321" s="191">
        <f>E321*C308</f>
        <v>62509.871219144588</v>
      </c>
      <c r="G321" s="209">
        <f>F321/C321</f>
        <v>7.8149984668324875E-4</v>
      </c>
    </row>
    <row r="322" spans="1:7" ht="12" customHeight="1" x14ac:dyDescent="0.25">
      <c r="A322" s="227"/>
      <c r="B322" s="187"/>
      <c r="C322" s="182"/>
      <c r="D322" s="187"/>
      <c r="E322" s="192"/>
      <c r="F322" s="189"/>
      <c r="G322" s="207"/>
    </row>
    <row r="323" spans="1:7" ht="12" customHeight="1" x14ac:dyDescent="0.25">
      <c r="A323" s="227" t="s">
        <v>7</v>
      </c>
      <c r="B323" s="187"/>
      <c r="C323" s="178">
        <f>SUM(C313:C321)</f>
        <v>19068865140.584591</v>
      </c>
      <c r="D323" s="187"/>
      <c r="E323" s="192">
        <f>SUM(E313:E321)</f>
        <v>1</v>
      </c>
      <c r="F323" s="177">
        <f>SUM(F313:F321)</f>
        <v>21354984</v>
      </c>
      <c r="G323" s="207">
        <f>F323/C323</f>
        <v>1.1198875152014067E-3</v>
      </c>
    </row>
    <row r="324" spans="1:7" ht="12" customHeight="1" x14ac:dyDescent="0.25">
      <c r="A324" s="96"/>
      <c r="B324" s="89"/>
      <c r="C324" s="101"/>
      <c r="D324" s="89"/>
      <c r="F324" s="114"/>
      <c r="G324" s="122"/>
    </row>
    <row r="325" spans="1:7" ht="12" customHeight="1" x14ac:dyDescent="0.25">
      <c r="A325" s="96"/>
      <c r="B325" s="89"/>
      <c r="C325" s="115"/>
      <c r="D325" s="89"/>
      <c r="E325" s="164"/>
      <c r="F325" s="104"/>
      <c r="G325" s="122"/>
    </row>
    <row r="326" spans="1:7" ht="12" customHeight="1" x14ac:dyDescent="0.25">
      <c r="A326" s="136" t="s">
        <v>305</v>
      </c>
      <c r="B326" s="115"/>
      <c r="C326" s="139"/>
      <c r="D326" s="89"/>
      <c r="E326" s="89"/>
      <c r="F326" s="89"/>
      <c r="G326" s="89"/>
    </row>
    <row r="327" spans="1:7" ht="15.75" thickBot="1" x14ac:dyDescent="0.3"/>
    <row r="328" spans="1:7" x14ac:dyDescent="0.25">
      <c r="A328" s="142" t="s">
        <v>203</v>
      </c>
      <c r="B328" s="143"/>
      <c r="C328" s="144"/>
    </row>
    <row r="329" spans="1:7" x14ac:dyDescent="0.25">
      <c r="A329" s="145"/>
      <c r="B329" s="91"/>
      <c r="C329" s="146"/>
    </row>
    <row r="330" spans="1:7" x14ac:dyDescent="0.25">
      <c r="A330" s="145" t="s">
        <v>204</v>
      </c>
      <c r="B330" s="91"/>
      <c r="C330" s="147">
        <f>SUM(E31,E68,G85,G102,H121,E165,F209,F250,E291,G313)</f>
        <v>1.4821482369193019E-2</v>
      </c>
      <c r="D330" s="148"/>
    </row>
    <row r="331" spans="1:7" x14ac:dyDescent="0.25">
      <c r="A331" s="145"/>
      <c r="B331" s="91"/>
      <c r="C331" s="147"/>
    </row>
    <row r="332" spans="1:7" x14ac:dyDescent="0.25">
      <c r="A332" s="145" t="s">
        <v>205</v>
      </c>
      <c r="B332" s="91"/>
      <c r="C332" s="147">
        <f>SUM(E33,E70,G87,G104,H123,E167,F211,F252,E293,G315)</f>
        <v>1.2606585349999673E-2</v>
      </c>
      <c r="D332" s="148"/>
    </row>
    <row r="333" spans="1:7" x14ac:dyDescent="0.25">
      <c r="A333" s="145"/>
      <c r="B333" s="91"/>
      <c r="C333" s="147"/>
    </row>
    <row r="334" spans="1:7" x14ac:dyDescent="0.25">
      <c r="A334" s="145" t="s">
        <v>9</v>
      </c>
      <c r="B334" s="91"/>
      <c r="C334" s="147"/>
    </row>
    <row r="335" spans="1:7" x14ac:dyDescent="0.25">
      <c r="A335" s="149" t="s">
        <v>206</v>
      </c>
      <c r="B335" s="91"/>
      <c r="C335" s="147">
        <f>SUM(E35,E72,H106,H125,E169,F213,F254,E295,G317)</f>
        <v>1.2863602098405841E-2</v>
      </c>
      <c r="D335" s="148"/>
    </row>
    <row r="336" spans="1:7" x14ac:dyDescent="0.25">
      <c r="A336" s="149" t="s">
        <v>207</v>
      </c>
      <c r="B336" s="91"/>
      <c r="C336" s="150">
        <f>SUM(E213,E254)</f>
        <v>0</v>
      </c>
      <c r="D336" s="148"/>
    </row>
    <row r="337" spans="1:4" x14ac:dyDescent="0.25">
      <c r="A337" s="149" t="s">
        <v>208</v>
      </c>
      <c r="B337" s="91"/>
      <c r="C337" s="147">
        <f>SUM(E35,E72,H106,H125,E169,E295,G317)</f>
        <v>1.2863602098405841E-2</v>
      </c>
      <c r="D337" s="148"/>
    </row>
    <row r="338" spans="1:4" x14ac:dyDescent="0.25">
      <c r="A338" s="145"/>
      <c r="B338" s="91"/>
      <c r="C338" s="147"/>
    </row>
    <row r="339" spans="1:4" x14ac:dyDescent="0.25">
      <c r="A339" s="145" t="s">
        <v>209</v>
      </c>
      <c r="B339" s="91"/>
      <c r="C339" s="147">
        <f>SUM(E37,E74,G91,G108,H127,E171,F215,F256,E297,G319)</f>
        <v>1.0653618701489054E-2</v>
      </c>
      <c r="D339" s="148"/>
    </row>
    <row r="340" spans="1:4" x14ac:dyDescent="0.25">
      <c r="A340" s="145"/>
      <c r="B340" s="91"/>
      <c r="C340" s="147"/>
    </row>
    <row r="341" spans="1:4" x14ac:dyDescent="0.25">
      <c r="A341" s="145" t="s">
        <v>210</v>
      </c>
      <c r="B341" s="91"/>
      <c r="C341" s="147">
        <f>SUM(G93,G110,G129,F217,F258,G321)</f>
        <v>2.4338909820458129E-3</v>
      </c>
      <c r="D341" s="148"/>
    </row>
    <row r="342" spans="1:4" x14ac:dyDescent="0.25">
      <c r="A342" s="145"/>
      <c r="B342" s="91"/>
      <c r="C342" s="146"/>
    </row>
    <row r="343" spans="1:4" ht="15.75" thickBot="1" x14ac:dyDescent="0.3">
      <c r="A343" s="151" t="s">
        <v>211</v>
      </c>
      <c r="B343" s="152"/>
      <c r="C343" s="153">
        <f>SUM(E39,E76,G95,G112,G131,E173,F219,F260,E299,G323)</f>
        <v>1.3482017726234089E-2</v>
      </c>
      <c r="D343" s="148"/>
    </row>
  </sheetData>
  <mergeCells count="6">
    <mergeCell ref="H248:I260"/>
    <mergeCell ref="A1:G1"/>
    <mergeCell ref="A80:G80"/>
    <mergeCell ref="A140:G140"/>
    <mergeCell ref="A180:G180"/>
    <mergeCell ref="H207:I219"/>
  </mergeCells>
  <pageMargins left="0.7" right="0.7" top="0.75" bottom="0.75" header="0.3" footer="0.3"/>
  <pageSetup scale="12" orientation="landscape" r:id="rId1"/>
  <rowBreaks count="2" manualBreakCount="2">
    <brk id="64" max="16383" man="1"/>
    <brk id="11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378B14-69E6-4061-BC25-4D195FE696A6}">
  <dimension ref="A1:H88"/>
  <sheetViews>
    <sheetView workbookViewId="0">
      <pane ySplit="8" topLeftCell="A9" activePane="bottomLeft" state="frozen"/>
      <selection activeCell="C46" sqref="C46"/>
      <selection pane="bottomLeft" activeCell="C46" sqref="C46"/>
    </sheetView>
  </sheetViews>
  <sheetFormatPr defaultRowHeight="15" x14ac:dyDescent="0.25"/>
  <cols>
    <col min="1" max="1" width="18.28515625" customWidth="1"/>
    <col min="2" max="2" width="15.28515625" bestFit="1" customWidth="1"/>
    <col min="5" max="5" width="17.7109375" bestFit="1" customWidth="1"/>
    <col min="6" max="6" width="9.5703125" bestFit="1" customWidth="1"/>
    <col min="7" max="7" width="49.140625" bestFit="1" customWidth="1"/>
    <col min="8" max="8" width="15.28515625" bestFit="1" customWidth="1"/>
    <col min="21" max="21" width="7.85546875" customWidth="1"/>
  </cols>
  <sheetData>
    <row r="1" spans="1:8" ht="18.75" x14ac:dyDescent="0.3">
      <c r="A1" s="56" t="s">
        <v>225</v>
      </c>
    </row>
    <row r="2" spans="1:8" ht="18.75" x14ac:dyDescent="0.3">
      <c r="A2" s="57" t="s">
        <v>290</v>
      </c>
    </row>
    <row r="3" spans="1:8" ht="18.75" x14ac:dyDescent="0.3">
      <c r="A3" s="57" t="s">
        <v>291</v>
      </c>
    </row>
    <row r="8" spans="1:8" x14ac:dyDescent="0.25">
      <c r="A8" s="58" t="s">
        <v>165</v>
      </c>
      <c r="B8" s="59" t="s">
        <v>29</v>
      </c>
      <c r="E8" s="58" t="s">
        <v>165</v>
      </c>
      <c r="F8" s="58" t="s">
        <v>226</v>
      </c>
      <c r="G8" s="58" t="s">
        <v>227</v>
      </c>
      <c r="H8" s="59" t="s">
        <v>29</v>
      </c>
    </row>
    <row r="9" spans="1:8" x14ac:dyDescent="0.25">
      <c r="A9" s="60">
        <v>0</v>
      </c>
      <c r="B9" s="61">
        <f>H11</f>
        <v>7949946.8900000006</v>
      </c>
      <c r="E9" s="62">
        <v>0</v>
      </c>
      <c r="F9" s="63" t="s">
        <v>106</v>
      </c>
      <c r="G9" s="60" t="s">
        <v>228</v>
      </c>
      <c r="H9" s="61">
        <v>3291635.89</v>
      </c>
    </row>
    <row r="10" spans="1:8" x14ac:dyDescent="0.25">
      <c r="A10" s="60" t="s">
        <v>1</v>
      </c>
      <c r="B10" s="61">
        <f>H18</f>
        <v>1342014.94</v>
      </c>
      <c r="E10" s="64"/>
      <c r="F10" s="63" t="s">
        <v>57</v>
      </c>
      <c r="G10" s="60" t="s">
        <v>229</v>
      </c>
      <c r="H10" s="61">
        <v>4658311</v>
      </c>
    </row>
    <row r="11" spans="1:8" x14ac:dyDescent="0.25">
      <c r="A11" s="60" t="s">
        <v>87</v>
      </c>
      <c r="B11" s="61">
        <f>H32</f>
        <v>47883538.189999998</v>
      </c>
      <c r="E11" s="65" t="s">
        <v>230</v>
      </c>
      <c r="F11" s="65"/>
      <c r="G11" s="65"/>
      <c r="H11" s="66">
        <f>SUM(H9:H10)</f>
        <v>7949946.8900000006</v>
      </c>
    </row>
    <row r="12" spans="1:8" x14ac:dyDescent="0.25">
      <c r="A12" s="60" t="s">
        <v>56</v>
      </c>
      <c r="B12" s="61">
        <f>H58</f>
        <v>28541017.689999994</v>
      </c>
      <c r="E12" s="62" t="s">
        <v>1</v>
      </c>
      <c r="F12" s="63" t="s">
        <v>133</v>
      </c>
      <c r="G12" s="60" t="s">
        <v>231</v>
      </c>
      <c r="H12" s="61">
        <v>38291.89</v>
      </c>
    </row>
    <row r="13" spans="1:8" x14ac:dyDescent="0.25">
      <c r="A13" s="60" t="s">
        <v>82</v>
      </c>
      <c r="B13" s="61">
        <f>H66</f>
        <v>3730699.5900000003</v>
      </c>
      <c r="E13" s="67"/>
      <c r="F13" s="63" t="s">
        <v>81</v>
      </c>
      <c r="G13" s="60" t="s">
        <v>80</v>
      </c>
      <c r="H13" s="61">
        <v>0</v>
      </c>
    </row>
    <row r="14" spans="1:8" x14ac:dyDescent="0.25">
      <c r="A14" s="60" t="s">
        <v>232</v>
      </c>
      <c r="B14" s="61">
        <f>H72</f>
        <v>1519602.79</v>
      </c>
      <c r="E14" s="67"/>
      <c r="F14" s="63" t="s">
        <v>132</v>
      </c>
      <c r="G14" s="60" t="s">
        <v>233</v>
      </c>
      <c r="H14" s="61">
        <v>107217.3</v>
      </c>
    </row>
    <row r="15" spans="1:8" ht="15.75" thickBot="1" x14ac:dyDescent="0.3">
      <c r="A15" s="60" t="s">
        <v>3</v>
      </c>
      <c r="B15" s="61">
        <f>H86</f>
        <v>18990731.780000001</v>
      </c>
      <c r="E15" s="67"/>
      <c r="F15" s="63" t="s">
        <v>131</v>
      </c>
      <c r="G15" s="60" t="s">
        <v>234</v>
      </c>
      <c r="H15" s="61">
        <v>449864.03</v>
      </c>
    </row>
    <row r="16" spans="1:8" ht="15.75" thickTop="1" x14ac:dyDescent="0.25">
      <c r="A16" s="68" t="s">
        <v>235</v>
      </c>
      <c r="B16" s="69">
        <f>SUM(B9:B15)</f>
        <v>109957551.87</v>
      </c>
      <c r="E16" s="67"/>
      <c r="F16" s="63" t="s">
        <v>130</v>
      </c>
      <c r="G16" s="60" t="s">
        <v>236</v>
      </c>
      <c r="H16" s="61">
        <v>377281.02</v>
      </c>
    </row>
    <row r="17" spans="5:8" x14ac:dyDescent="0.25">
      <c r="E17" s="64"/>
      <c r="F17" s="63" t="s">
        <v>237</v>
      </c>
      <c r="G17" s="60" t="s">
        <v>238</v>
      </c>
      <c r="H17" s="61">
        <v>369360.7</v>
      </c>
    </row>
    <row r="18" spans="5:8" x14ac:dyDescent="0.25">
      <c r="E18" s="65" t="s">
        <v>239</v>
      </c>
      <c r="F18" s="65"/>
      <c r="G18" s="65"/>
      <c r="H18" s="66">
        <f>SUM(H12:H17)</f>
        <v>1342014.94</v>
      </c>
    </row>
    <row r="19" spans="5:8" x14ac:dyDescent="0.25">
      <c r="E19" s="62" t="s">
        <v>87</v>
      </c>
      <c r="F19" s="63" t="s">
        <v>148</v>
      </c>
      <c r="G19" s="60" t="s">
        <v>240</v>
      </c>
      <c r="H19" s="61">
        <v>0</v>
      </c>
    </row>
    <row r="20" spans="5:8" x14ac:dyDescent="0.25">
      <c r="E20" s="67"/>
      <c r="F20" s="63" t="s">
        <v>147</v>
      </c>
      <c r="G20" s="60" t="s">
        <v>241</v>
      </c>
      <c r="H20" s="61">
        <v>60708.54</v>
      </c>
    </row>
    <row r="21" spans="5:8" x14ac:dyDescent="0.25">
      <c r="E21" s="67"/>
      <c r="F21" s="63" t="s">
        <v>145</v>
      </c>
      <c r="G21" s="60" t="s">
        <v>242</v>
      </c>
      <c r="H21" s="61">
        <v>1528992.22</v>
      </c>
    </row>
    <row r="22" spans="5:8" x14ac:dyDescent="0.25">
      <c r="E22" s="67"/>
      <c r="F22" s="63" t="s">
        <v>143</v>
      </c>
      <c r="G22" s="60" t="s">
        <v>243</v>
      </c>
      <c r="H22" s="61">
        <v>14532192.83</v>
      </c>
    </row>
    <row r="23" spans="5:8" x14ac:dyDescent="0.25">
      <c r="E23" s="67"/>
      <c r="F23" s="63" t="s">
        <v>141</v>
      </c>
      <c r="G23" s="60" t="s">
        <v>244</v>
      </c>
      <c r="H23" s="61">
        <v>3117820.87</v>
      </c>
    </row>
    <row r="24" spans="5:8" x14ac:dyDescent="0.25">
      <c r="E24" s="67"/>
      <c r="F24" s="63" t="s">
        <v>140</v>
      </c>
      <c r="G24" s="60" t="s">
        <v>245</v>
      </c>
      <c r="H24" s="61">
        <v>12639754.49</v>
      </c>
    </row>
    <row r="25" spans="5:8" x14ac:dyDescent="0.25">
      <c r="E25" s="67"/>
      <c r="F25" s="63" t="s">
        <v>93</v>
      </c>
      <c r="G25" s="60" t="s">
        <v>92</v>
      </c>
      <c r="H25" s="61">
        <v>2982621.28</v>
      </c>
    </row>
    <row r="26" spans="5:8" x14ac:dyDescent="0.25">
      <c r="E26" s="67"/>
      <c r="F26" s="63" t="s">
        <v>139</v>
      </c>
      <c r="G26" s="60" t="s">
        <v>246</v>
      </c>
      <c r="H26" s="61">
        <v>278034.55</v>
      </c>
    </row>
    <row r="27" spans="5:8" x14ac:dyDescent="0.25">
      <c r="E27" s="67"/>
      <c r="F27" s="63" t="s">
        <v>91</v>
      </c>
      <c r="G27" s="60" t="s">
        <v>90</v>
      </c>
      <c r="H27" s="61">
        <v>9861940.5800000001</v>
      </c>
    </row>
    <row r="28" spans="5:8" x14ac:dyDescent="0.25">
      <c r="E28" s="67"/>
      <c r="F28" s="63" t="s">
        <v>99</v>
      </c>
      <c r="G28" s="60" t="s">
        <v>98</v>
      </c>
      <c r="H28" s="61">
        <v>376716.26</v>
      </c>
    </row>
    <row r="29" spans="5:8" x14ac:dyDescent="0.25">
      <c r="E29" s="67"/>
      <c r="F29" s="63" t="s">
        <v>89</v>
      </c>
      <c r="G29" s="60" t="s">
        <v>88</v>
      </c>
      <c r="H29" s="61">
        <v>375154.34</v>
      </c>
    </row>
    <row r="30" spans="5:8" x14ac:dyDescent="0.25">
      <c r="E30" s="67"/>
      <c r="F30" s="63" t="s">
        <v>247</v>
      </c>
      <c r="G30" s="60" t="s">
        <v>248</v>
      </c>
      <c r="H30" s="61">
        <v>546376.9</v>
      </c>
    </row>
    <row r="31" spans="5:8" x14ac:dyDescent="0.25">
      <c r="E31" s="64"/>
      <c r="F31" s="63" t="s">
        <v>249</v>
      </c>
      <c r="G31" s="60" t="s">
        <v>250</v>
      </c>
      <c r="H31" s="61">
        <v>1583225.33</v>
      </c>
    </row>
    <row r="32" spans="5:8" x14ac:dyDescent="0.25">
      <c r="E32" s="65" t="s">
        <v>149</v>
      </c>
      <c r="F32" s="65"/>
      <c r="G32" s="65"/>
      <c r="H32" s="66">
        <f>SUM(H19:H31)</f>
        <v>47883538.189999998</v>
      </c>
    </row>
    <row r="33" spans="5:8" x14ac:dyDescent="0.25">
      <c r="E33" s="62" t="s">
        <v>56</v>
      </c>
      <c r="F33" s="63" t="s">
        <v>129</v>
      </c>
      <c r="G33" s="60" t="s">
        <v>251</v>
      </c>
      <c r="H33" s="61">
        <v>99367.99</v>
      </c>
    </row>
    <row r="34" spans="5:8" x14ac:dyDescent="0.25">
      <c r="E34" s="67"/>
      <c r="F34" s="63" t="s">
        <v>128</v>
      </c>
      <c r="G34" s="60" t="s">
        <v>252</v>
      </c>
      <c r="H34" s="61">
        <v>0</v>
      </c>
    </row>
    <row r="35" spans="5:8" x14ac:dyDescent="0.25">
      <c r="E35" s="67"/>
      <c r="F35" s="63" t="s">
        <v>127</v>
      </c>
      <c r="G35" s="60" t="s">
        <v>253</v>
      </c>
      <c r="H35" s="61">
        <v>7888358.2800000003</v>
      </c>
    </row>
    <row r="36" spans="5:8" x14ac:dyDescent="0.25">
      <c r="E36" s="67"/>
      <c r="F36" s="63" t="s">
        <v>116</v>
      </c>
      <c r="G36" s="60" t="s">
        <v>115</v>
      </c>
      <c r="H36" s="61">
        <v>429646.63</v>
      </c>
    </row>
    <row r="37" spans="5:8" x14ac:dyDescent="0.25">
      <c r="E37" s="67"/>
      <c r="F37" s="63" t="s">
        <v>114</v>
      </c>
      <c r="G37" s="60" t="s">
        <v>113</v>
      </c>
      <c r="H37" s="61">
        <v>720697.59</v>
      </c>
    </row>
    <row r="38" spans="5:8" x14ac:dyDescent="0.25">
      <c r="E38" s="67"/>
      <c r="F38" s="63" t="s">
        <v>112</v>
      </c>
      <c r="G38" s="60" t="s">
        <v>111</v>
      </c>
      <c r="H38" s="61">
        <v>235612.67</v>
      </c>
    </row>
    <row r="39" spans="5:8" x14ac:dyDescent="0.25">
      <c r="E39" s="67"/>
      <c r="F39" s="63" t="s">
        <v>126</v>
      </c>
      <c r="G39" s="60" t="s">
        <v>125</v>
      </c>
      <c r="H39" s="61">
        <v>258551.54</v>
      </c>
    </row>
    <row r="40" spans="5:8" x14ac:dyDescent="0.25">
      <c r="E40" s="67"/>
      <c r="F40" s="63" t="s">
        <v>124</v>
      </c>
      <c r="G40" s="60" t="s">
        <v>123</v>
      </c>
      <c r="H40" s="61">
        <v>303517.02</v>
      </c>
    </row>
    <row r="41" spans="5:8" x14ac:dyDescent="0.25">
      <c r="E41" s="67"/>
      <c r="F41" s="63" t="s">
        <v>122</v>
      </c>
      <c r="G41" s="60" t="s">
        <v>121</v>
      </c>
      <c r="H41" s="61">
        <v>312262.92</v>
      </c>
    </row>
    <row r="42" spans="5:8" x14ac:dyDescent="0.25">
      <c r="E42" s="67"/>
      <c r="F42" s="63" t="s">
        <v>120</v>
      </c>
      <c r="G42" s="60" t="s">
        <v>119</v>
      </c>
      <c r="H42" s="61">
        <v>182153.37</v>
      </c>
    </row>
    <row r="43" spans="5:8" x14ac:dyDescent="0.25">
      <c r="E43" s="67"/>
      <c r="F43" s="63" t="s">
        <v>118</v>
      </c>
      <c r="G43" s="60" t="s">
        <v>117</v>
      </c>
      <c r="H43" s="61">
        <v>156131.45000000001</v>
      </c>
    </row>
    <row r="44" spans="5:8" x14ac:dyDescent="0.25">
      <c r="E44" s="67"/>
      <c r="F44" s="63" t="s">
        <v>110</v>
      </c>
      <c r="G44" s="60" t="s">
        <v>109</v>
      </c>
      <c r="H44" s="61">
        <v>4170801</v>
      </c>
    </row>
    <row r="45" spans="5:8" x14ac:dyDescent="0.25">
      <c r="E45" s="67"/>
      <c r="F45" s="63" t="s">
        <v>108</v>
      </c>
      <c r="G45" s="60" t="s">
        <v>107</v>
      </c>
      <c r="H45" s="61">
        <v>782979.13</v>
      </c>
    </row>
    <row r="46" spans="5:8" x14ac:dyDescent="0.25">
      <c r="E46" s="67"/>
      <c r="F46" s="63" t="s">
        <v>105</v>
      </c>
      <c r="G46" s="60" t="s">
        <v>104</v>
      </c>
      <c r="H46" s="61">
        <v>2415429</v>
      </c>
    </row>
    <row r="47" spans="5:8" x14ac:dyDescent="0.25">
      <c r="E47" s="67"/>
      <c r="F47" s="63" t="s">
        <v>77</v>
      </c>
      <c r="G47" s="60" t="s">
        <v>76</v>
      </c>
      <c r="H47" s="61">
        <v>2589309.7599999998</v>
      </c>
    </row>
    <row r="48" spans="5:8" x14ac:dyDescent="0.25">
      <c r="E48" s="67"/>
      <c r="F48" s="63" t="s">
        <v>101</v>
      </c>
      <c r="G48" s="60" t="s">
        <v>100</v>
      </c>
      <c r="H48" s="61">
        <v>455014.26</v>
      </c>
    </row>
    <row r="49" spans="5:8" x14ac:dyDescent="0.25">
      <c r="E49" s="64"/>
      <c r="F49" s="63" t="s">
        <v>301</v>
      </c>
      <c r="G49" s="161" t="s">
        <v>300</v>
      </c>
      <c r="H49" s="61">
        <v>0</v>
      </c>
    </row>
    <row r="50" spans="5:8" x14ac:dyDescent="0.25">
      <c r="E50" s="160"/>
      <c r="F50" s="63" t="s">
        <v>292</v>
      </c>
      <c r="G50" s="161" t="s">
        <v>65</v>
      </c>
      <c r="H50" s="162">
        <v>436404.78</v>
      </c>
    </row>
    <row r="51" spans="5:8" x14ac:dyDescent="0.25">
      <c r="E51" s="160"/>
      <c r="F51" s="63" t="s">
        <v>293</v>
      </c>
      <c r="G51" s="161" t="s">
        <v>64</v>
      </c>
      <c r="H51" s="162">
        <v>1784156.47</v>
      </c>
    </row>
    <row r="52" spans="5:8" x14ac:dyDescent="0.25">
      <c r="E52" s="160"/>
      <c r="F52" s="63" t="s">
        <v>294</v>
      </c>
      <c r="G52" s="161" t="s">
        <v>63</v>
      </c>
      <c r="H52" s="162">
        <v>1707956.74</v>
      </c>
    </row>
    <row r="53" spans="5:8" x14ac:dyDescent="0.25">
      <c r="E53" s="160"/>
      <c r="F53" s="63" t="s">
        <v>295</v>
      </c>
      <c r="G53" s="161" t="s">
        <v>62</v>
      </c>
      <c r="H53" s="162">
        <v>1150179.21</v>
      </c>
    </row>
    <row r="54" spans="5:8" x14ac:dyDescent="0.25">
      <c r="E54" s="160"/>
      <c r="F54" s="63" t="s">
        <v>296</v>
      </c>
      <c r="G54" s="161" t="s">
        <v>61</v>
      </c>
      <c r="H54" s="162">
        <v>827831.08</v>
      </c>
    </row>
    <row r="55" spans="5:8" x14ac:dyDescent="0.25">
      <c r="E55" s="160"/>
      <c r="F55" s="63" t="s">
        <v>297</v>
      </c>
      <c r="G55" s="161" t="s">
        <v>60</v>
      </c>
      <c r="H55" s="162">
        <v>1100640.28</v>
      </c>
    </row>
    <row r="56" spans="5:8" x14ac:dyDescent="0.25">
      <c r="E56" s="160"/>
      <c r="F56" s="63" t="s">
        <v>298</v>
      </c>
      <c r="G56" s="161" t="s">
        <v>59</v>
      </c>
      <c r="H56" s="162">
        <v>250873.13</v>
      </c>
    </row>
    <row r="57" spans="5:8" x14ac:dyDescent="0.25">
      <c r="E57" s="160"/>
      <c r="F57" s="63" t="s">
        <v>299</v>
      </c>
      <c r="G57" s="161" t="s">
        <v>58</v>
      </c>
      <c r="H57" s="162">
        <v>283143.39</v>
      </c>
    </row>
    <row r="58" spans="5:8" x14ac:dyDescent="0.25">
      <c r="E58" s="65" t="s">
        <v>254</v>
      </c>
      <c r="F58" s="65"/>
      <c r="G58" s="65"/>
      <c r="H58" s="66">
        <f>SUM(H33:H57)</f>
        <v>28541017.689999994</v>
      </c>
    </row>
    <row r="59" spans="5:8" x14ac:dyDescent="0.25">
      <c r="E59" s="62" t="s">
        <v>82</v>
      </c>
      <c r="F59" s="63" t="s">
        <v>138</v>
      </c>
      <c r="G59" s="60" t="s">
        <v>255</v>
      </c>
      <c r="H59" s="61">
        <v>1651531.06</v>
      </c>
    </row>
    <row r="60" spans="5:8" x14ac:dyDescent="0.25">
      <c r="E60" s="67"/>
      <c r="F60" s="63" t="s">
        <v>137</v>
      </c>
      <c r="G60" s="60" t="s">
        <v>256</v>
      </c>
      <c r="H60" s="61">
        <v>10819.43</v>
      </c>
    </row>
    <row r="61" spans="5:8" x14ac:dyDescent="0.25">
      <c r="E61" s="67"/>
      <c r="F61" s="63" t="s">
        <v>136</v>
      </c>
      <c r="G61" s="60" t="s">
        <v>257</v>
      </c>
      <c r="H61" s="61">
        <v>462784.69</v>
      </c>
    </row>
    <row r="62" spans="5:8" x14ac:dyDescent="0.25">
      <c r="E62" s="67"/>
      <c r="F62" s="63" t="s">
        <v>86</v>
      </c>
      <c r="G62" s="60" t="s">
        <v>85</v>
      </c>
      <c r="H62" s="61">
        <v>0</v>
      </c>
    </row>
    <row r="63" spans="5:8" x14ac:dyDescent="0.25">
      <c r="E63" s="67"/>
      <c r="F63" s="63" t="s">
        <v>135</v>
      </c>
      <c r="G63" s="60" t="s">
        <v>258</v>
      </c>
      <c r="H63" s="61">
        <v>732342.94</v>
      </c>
    </row>
    <row r="64" spans="5:8" x14ac:dyDescent="0.25">
      <c r="E64" s="67"/>
      <c r="F64" s="63" t="s">
        <v>134</v>
      </c>
      <c r="G64" s="60" t="s">
        <v>259</v>
      </c>
      <c r="H64" s="61">
        <v>662197.16</v>
      </c>
    </row>
    <row r="65" spans="5:8" x14ac:dyDescent="0.25">
      <c r="E65" s="64"/>
      <c r="F65" s="63" t="s">
        <v>84</v>
      </c>
      <c r="G65" s="60" t="s">
        <v>83</v>
      </c>
      <c r="H65" s="61">
        <v>211024.31</v>
      </c>
    </row>
    <row r="66" spans="5:8" x14ac:dyDescent="0.25">
      <c r="E66" s="65" t="s">
        <v>260</v>
      </c>
      <c r="F66" s="65"/>
      <c r="G66" s="65"/>
      <c r="H66" s="66">
        <f>SUM(H59:H65)</f>
        <v>3730699.5900000003</v>
      </c>
    </row>
    <row r="67" spans="5:8" x14ac:dyDescent="0.25">
      <c r="E67" s="62" t="s">
        <v>232</v>
      </c>
      <c r="F67" s="63" t="s">
        <v>75</v>
      </c>
      <c r="G67" s="60" t="s">
        <v>74</v>
      </c>
      <c r="H67" s="163">
        <v>102019.25</v>
      </c>
    </row>
    <row r="68" spans="5:8" x14ac:dyDescent="0.25">
      <c r="E68" s="67"/>
      <c r="F68" s="63" t="s">
        <v>73</v>
      </c>
      <c r="G68" s="60" t="s">
        <v>72</v>
      </c>
      <c r="H68" s="61">
        <v>206340.62</v>
      </c>
    </row>
    <row r="69" spans="5:8" x14ac:dyDescent="0.25">
      <c r="E69" s="67"/>
      <c r="F69" s="63" t="s">
        <v>71</v>
      </c>
      <c r="G69" s="60" t="s">
        <v>70</v>
      </c>
      <c r="H69" s="61">
        <v>415791.7</v>
      </c>
    </row>
    <row r="70" spans="5:8" x14ac:dyDescent="0.25">
      <c r="E70" s="67"/>
      <c r="F70" s="63" t="s">
        <v>69</v>
      </c>
      <c r="G70" s="60" t="s">
        <v>68</v>
      </c>
      <c r="H70" s="61">
        <v>130727.66</v>
      </c>
    </row>
    <row r="71" spans="5:8" x14ac:dyDescent="0.25">
      <c r="E71" s="67"/>
      <c r="F71" s="63" t="s">
        <v>67</v>
      </c>
      <c r="G71" s="60" t="s">
        <v>66</v>
      </c>
      <c r="H71" s="61">
        <v>664723.56000000006</v>
      </c>
    </row>
    <row r="72" spans="5:8" x14ac:dyDescent="0.25">
      <c r="E72" s="65" t="s">
        <v>261</v>
      </c>
      <c r="F72" s="65"/>
      <c r="G72" s="65"/>
      <c r="H72" s="66">
        <f>SUM(H67:H71)</f>
        <v>1519602.79</v>
      </c>
    </row>
    <row r="73" spans="5:8" x14ac:dyDescent="0.25">
      <c r="E73" s="62" t="s">
        <v>3</v>
      </c>
      <c r="F73" s="63" t="s">
        <v>161</v>
      </c>
      <c r="G73" s="60" t="s">
        <v>262</v>
      </c>
      <c r="H73" s="61">
        <v>329694.07</v>
      </c>
    </row>
    <row r="74" spans="5:8" x14ac:dyDescent="0.25">
      <c r="E74" s="67"/>
      <c r="F74" s="63" t="s">
        <v>160</v>
      </c>
      <c r="G74" s="60" t="s">
        <v>263</v>
      </c>
      <c r="H74" s="61">
        <v>1874592.93</v>
      </c>
    </row>
    <row r="75" spans="5:8" x14ac:dyDescent="0.25">
      <c r="E75" s="67"/>
      <c r="F75" s="63" t="s">
        <v>159</v>
      </c>
      <c r="G75" s="60" t="s">
        <v>264</v>
      </c>
      <c r="H75" s="61">
        <v>3574048.94</v>
      </c>
    </row>
    <row r="76" spans="5:8" x14ac:dyDescent="0.25">
      <c r="E76" s="67"/>
      <c r="F76" s="63" t="s">
        <v>158</v>
      </c>
      <c r="G76" s="60" t="s">
        <v>157</v>
      </c>
      <c r="H76" s="61">
        <v>1926245.81</v>
      </c>
    </row>
    <row r="77" spans="5:8" x14ac:dyDescent="0.25">
      <c r="E77" s="67"/>
      <c r="F77" s="63" t="s">
        <v>154</v>
      </c>
      <c r="G77" s="60" t="s">
        <v>265</v>
      </c>
      <c r="H77" s="61">
        <v>1579721.84</v>
      </c>
    </row>
    <row r="78" spans="5:8" x14ac:dyDescent="0.25">
      <c r="E78" s="67"/>
      <c r="F78" s="63" t="s">
        <v>97</v>
      </c>
      <c r="G78" s="60" t="s">
        <v>96</v>
      </c>
      <c r="H78" s="61">
        <v>193588.59</v>
      </c>
    </row>
    <row r="79" spans="5:8" x14ac:dyDescent="0.25">
      <c r="E79" s="67"/>
      <c r="F79" s="63" t="s">
        <v>95</v>
      </c>
      <c r="G79" s="60" t="s">
        <v>94</v>
      </c>
      <c r="H79" s="61">
        <v>1719903.63</v>
      </c>
    </row>
    <row r="80" spans="5:8" x14ac:dyDescent="0.25">
      <c r="E80" s="67"/>
      <c r="F80" s="63" t="s">
        <v>152</v>
      </c>
      <c r="G80" s="60" t="s">
        <v>266</v>
      </c>
      <c r="H80" s="61">
        <v>1588716.64</v>
      </c>
    </row>
    <row r="81" spans="5:8" x14ac:dyDescent="0.25">
      <c r="E81" s="67"/>
      <c r="F81" s="63" t="s">
        <v>103</v>
      </c>
      <c r="G81" s="60" t="s">
        <v>102</v>
      </c>
      <c r="H81" s="61">
        <v>4701080.6500000004</v>
      </c>
    </row>
    <row r="82" spans="5:8" x14ac:dyDescent="0.25">
      <c r="E82" s="67"/>
      <c r="F82" s="63" t="s">
        <v>79</v>
      </c>
      <c r="G82" s="60" t="s">
        <v>78</v>
      </c>
      <c r="H82" s="61">
        <v>921621.73</v>
      </c>
    </row>
    <row r="83" spans="5:8" x14ac:dyDescent="0.25">
      <c r="E83" s="67"/>
      <c r="F83" s="63" t="s">
        <v>151</v>
      </c>
      <c r="G83" s="60" t="s">
        <v>267</v>
      </c>
      <c r="H83" s="61">
        <v>227774.99</v>
      </c>
    </row>
    <row r="84" spans="5:8" x14ac:dyDescent="0.25">
      <c r="E84" s="67"/>
      <c r="F84" s="63" t="s">
        <v>150</v>
      </c>
      <c r="G84" s="60" t="s">
        <v>268</v>
      </c>
      <c r="H84" s="61">
        <v>353741.96</v>
      </c>
    </row>
    <row r="85" spans="5:8" x14ac:dyDescent="0.25">
      <c r="E85" s="64"/>
      <c r="F85" s="63" t="s">
        <v>269</v>
      </c>
      <c r="G85" s="60" t="s">
        <v>270</v>
      </c>
      <c r="H85" s="61">
        <v>0</v>
      </c>
    </row>
    <row r="86" spans="5:8" ht="15.75" thickBot="1" x14ac:dyDescent="0.3">
      <c r="E86" s="65" t="s">
        <v>271</v>
      </c>
      <c r="F86" s="65"/>
      <c r="G86" s="65"/>
      <c r="H86" s="66">
        <f>SUM(H73:H85)</f>
        <v>18990731.780000001</v>
      </c>
    </row>
    <row r="87" spans="5:8" ht="15.75" thickTop="1" x14ac:dyDescent="0.25">
      <c r="E87" s="68" t="s">
        <v>235</v>
      </c>
      <c r="F87" s="68"/>
      <c r="G87" s="68"/>
      <c r="H87" s="69">
        <f>SUM(H86,H72,H66,H58,H32,H18,H11)</f>
        <v>109957551.86999999</v>
      </c>
    </row>
    <row r="88" spans="5:8" x14ac:dyDescent="0.25">
      <c r="E88" s="157"/>
      <c r="F88" s="157"/>
      <c r="G88" s="157"/>
      <c r="H88" s="158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I32"/>
  <sheetViews>
    <sheetView workbookViewId="0">
      <selection activeCell="C46" sqref="C46"/>
    </sheetView>
  </sheetViews>
  <sheetFormatPr defaultRowHeight="15" x14ac:dyDescent="0.25"/>
  <cols>
    <col min="1" max="1" width="11.7109375" bestFit="1" customWidth="1"/>
    <col min="2" max="2" width="20.5703125" bestFit="1" customWidth="1"/>
    <col min="3" max="3" width="37.140625" bestFit="1" customWidth="1"/>
    <col min="4" max="4" width="26.5703125" customWidth="1"/>
    <col min="5" max="5" width="12.140625" customWidth="1"/>
    <col min="6" max="6" width="18.42578125" customWidth="1"/>
    <col min="7" max="7" width="14.140625" bestFit="1" customWidth="1"/>
    <col min="8" max="9" width="13.5703125" bestFit="1" customWidth="1"/>
  </cols>
  <sheetData>
    <row r="1" spans="1:8" x14ac:dyDescent="0.25">
      <c r="A1" s="241" t="s">
        <v>308</v>
      </c>
      <c r="B1" s="241"/>
      <c r="C1" s="241"/>
      <c r="D1" s="241"/>
      <c r="E1" s="241"/>
      <c r="F1" s="241"/>
      <c r="G1" s="241"/>
      <c r="H1" s="241"/>
    </row>
    <row r="2" spans="1:8" x14ac:dyDescent="0.25">
      <c r="A2" s="241" t="s">
        <v>312</v>
      </c>
      <c r="B2" s="241"/>
      <c r="C2" s="241"/>
      <c r="D2" s="241"/>
      <c r="E2" s="241"/>
      <c r="F2" s="241"/>
      <c r="G2" s="241"/>
      <c r="H2" s="241"/>
    </row>
    <row r="3" spans="1:8" x14ac:dyDescent="0.25">
      <c r="A3" s="241" t="s">
        <v>309</v>
      </c>
      <c r="B3" s="241"/>
      <c r="C3" s="241"/>
      <c r="D3" s="241"/>
      <c r="E3" s="241"/>
      <c r="F3" s="241"/>
      <c r="G3" s="241"/>
      <c r="H3" s="241"/>
    </row>
    <row r="6" spans="1:8" ht="26.25" x14ac:dyDescent="0.25">
      <c r="B6" s="7"/>
      <c r="C6" s="11" t="s">
        <v>164</v>
      </c>
      <c r="D6" s="11" t="s">
        <v>274</v>
      </c>
      <c r="E6" s="11" t="s">
        <v>163</v>
      </c>
      <c r="F6" s="11" t="s">
        <v>273</v>
      </c>
      <c r="G6" s="11" t="s">
        <v>162</v>
      </c>
    </row>
    <row r="7" spans="1:8" x14ac:dyDescent="0.25">
      <c r="B7" s="8"/>
      <c r="C7" s="8"/>
      <c r="D7" s="8"/>
      <c r="E7" s="8"/>
      <c r="F7" s="8"/>
      <c r="G7" s="6"/>
    </row>
    <row r="8" spans="1:8" x14ac:dyDescent="0.25">
      <c r="B8" s="12" t="s">
        <v>45</v>
      </c>
      <c r="C8" s="9">
        <f>SUM('EE Calculation NEW'!H73:H85)</f>
        <v>18990731.780000001</v>
      </c>
      <c r="D8" s="85">
        <f>C8/$C$13</f>
        <v>0.25849481349986364</v>
      </c>
      <c r="E8" s="9">
        <f>C8+D8*$C$17</f>
        <v>26368436.824872859</v>
      </c>
      <c r="F8" s="9">
        <f>E8+D8*$C$29</f>
        <v>28423456.86353723</v>
      </c>
      <c r="G8" s="85">
        <f>F8/$C$15</f>
        <v>0.25849481349986364</v>
      </c>
    </row>
    <row r="9" spans="1:8" x14ac:dyDescent="0.25">
      <c r="B9" s="12" t="s">
        <v>144</v>
      </c>
      <c r="C9" s="9">
        <f>(C23*C20)</f>
        <v>11384661.155647855</v>
      </c>
      <c r="D9" s="85">
        <f>C9/$C$13</f>
        <v>0.15496379477528138</v>
      </c>
      <c r="E9" s="9">
        <f>C9+D9*$C$17</f>
        <v>15807485.563638691</v>
      </c>
      <c r="F9" s="9">
        <f t="shared" ref="F9:F12" si="0">E9+D9*$C$29</f>
        <v>17039439.501975037</v>
      </c>
      <c r="G9" s="85">
        <f t="shared" ref="G9:G12" si="1">F9/$C$15</f>
        <v>0.15496379477528138</v>
      </c>
    </row>
    <row r="10" spans="1:8" x14ac:dyDescent="0.25">
      <c r="B10" s="12" t="s">
        <v>142</v>
      </c>
      <c r="C10" s="9">
        <f>(C24*C20)</f>
        <v>41747896.785718739</v>
      </c>
      <c r="D10" s="85">
        <f>C10/$C$13</f>
        <v>0.5682569223057039</v>
      </c>
      <c r="E10" s="9">
        <f t="shared" ref="E10:E11" si="2">C10+D10*$C$17</f>
        <v>57966527.657710791</v>
      </c>
      <c r="F10" s="9">
        <f t="shared" si="0"/>
        <v>62484140.009915993</v>
      </c>
      <c r="G10" s="85">
        <f t="shared" si="1"/>
        <v>0.5682569223057039</v>
      </c>
    </row>
    <row r="11" spans="1:8" x14ac:dyDescent="0.25">
      <c r="B11" s="12" t="s">
        <v>156</v>
      </c>
      <c r="C11" s="9">
        <f>SUM('EE Calculation NEW'!H12:H17)</f>
        <v>1342014.94</v>
      </c>
      <c r="D11" s="85">
        <f>C11/$C$13</f>
        <v>1.8267010752827908E-2</v>
      </c>
      <c r="E11" s="9">
        <f t="shared" si="2"/>
        <v>1863374.0170398813</v>
      </c>
      <c r="F11" s="9">
        <f t="shared" si="0"/>
        <v>2008595.7823639221</v>
      </c>
      <c r="G11" s="85">
        <f t="shared" si="1"/>
        <v>1.8267010752827908E-2</v>
      </c>
    </row>
    <row r="12" spans="1:8" x14ac:dyDescent="0.25">
      <c r="B12" s="12" t="s">
        <v>155</v>
      </c>
      <c r="C12" s="9">
        <f>C32</f>
        <v>1282.628633395057</v>
      </c>
      <c r="D12" s="85">
        <f>(C12)/$C$13</f>
        <v>1.7458666323127873E-5</v>
      </c>
      <c r="E12" s="9">
        <f>C12+D12*$C$17</f>
        <v>1780.9167377672568</v>
      </c>
      <c r="F12" s="9">
        <f t="shared" si="0"/>
        <v>1919.7122078063549</v>
      </c>
      <c r="G12" s="85">
        <f t="shared" si="1"/>
        <v>1.745866632312787E-5</v>
      </c>
    </row>
    <row r="13" spans="1:8" x14ac:dyDescent="0.25">
      <c r="B13" s="12" t="s">
        <v>153</v>
      </c>
      <c r="C13" s="9">
        <f>C14-C17</f>
        <v>73466587.289999992</v>
      </c>
      <c r="D13" s="74"/>
      <c r="E13" s="75"/>
      <c r="F13" s="76"/>
      <c r="G13" s="74"/>
    </row>
    <row r="14" spans="1:8" x14ac:dyDescent="0.25">
      <c r="B14" s="12" t="s">
        <v>275</v>
      </c>
      <c r="C14" s="9">
        <f>SUM(C8:C12,C17)</f>
        <v>102007604.97999999</v>
      </c>
      <c r="D14" s="73"/>
      <c r="E14" s="77"/>
      <c r="F14" s="77"/>
      <c r="G14" s="78"/>
    </row>
    <row r="15" spans="1:8" x14ac:dyDescent="0.25">
      <c r="B15" s="12" t="s">
        <v>29</v>
      </c>
      <c r="C15" s="9">
        <f>SUM(F8:F12)</f>
        <v>109957551.86999999</v>
      </c>
      <c r="D15" s="9"/>
      <c r="E15" s="9"/>
      <c r="F15" s="9"/>
      <c r="G15" s="79"/>
    </row>
    <row r="16" spans="1:8" x14ac:dyDescent="0.25">
      <c r="B16" s="155"/>
      <c r="C16" s="156"/>
      <c r="D16" s="9"/>
      <c r="E16" s="9"/>
      <c r="F16" s="9"/>
      <c r="G16" s="79"/>
    </row>
    <row r="17" spans="1:9" x14ac:dyDescent="0.25">
      <c r="B17" s="12" t="s">
        <v>56</v>
      </c>
      <c r="C17" s="9">
        <f>SUM('EE Calculation NEW'!H33:H57)</f>
        <v>28541017.689999994</v>
      </c>
      <c r="D17" s="9"/>
      <c r="E17" s="9"/>
      <c r="F17" s="9"/>
      <c r="G17" s="80"/>
    </row>
    <row r="18" spans="1:9" x14ac:dyDescent="0.25">
      <c r="B18" s="13"/>
      <c r="C18" s="79"/>
      <c r="D18" s="79"/>
      <c r="E18" s="79"/>
      <c r="F18" s="79"/>
      <c r="G18" s="79"/>
      <c r="H18" s="71"/>
    </row>
    <row r="19" spans="1:9" x14ac:dyDescent="0.25">
      <c r="B19" s="13"/>
      <c r="C19" s="79"/>
      <c r="D19" s="79"/>
      <c r="E19" s="79"/>
      <c r="F19" s="79"/>
      <c r="G19" s="79"/>
    </row>
    <row r="20" spans="1:9" x14ac:dyDescent="0.25">
      <c r="B20" s="12" t="s">
        <v>149</v>
      </c>
      <c r="C20" s="55">
        <f>SUM('EE Calculation NEW'!H59:H65,'EE Calculation NEW'!H19:H31,'EE Calculation NEW'!H67:H71)-C32</f>
        <v>53132557.941366598</v>
      </c>
      <c r="D20" s="83"/>
      <c r="E20" s="79"/>
      <c r="F20" s="79"/>
      <c r="G20" s="79"/>
      <c r="H20" s="70"/>
      <c r="I20" s="70"/>
    </row>
    <row r="21" spans="1:9" x14ac:dyDescent="0.25">
      <c r="B21" s="155"/>
      <c r="C21" s="156"/>
      <c r="D21" s="79"/>
      <c r="E21" s="79"/>
      <c r="F21" s="79"/>
      <c r="G21" s="79"/>
      <c r="I21" s="54"/>
    </row>
    <row r="22" spans="1:9" x14ac:dyDescent="0.25">
      <c r="B22" s="13"/>
      <c r="C22" s="76" t="s">
        <v>146</v>
      </c>
      <c r="D22" s="79"/>
      <c r="E22" s="79"/>
      <c r="F22" s="79"/>
      <c r="G22" s="79"/>
    </row>
    <row r="23" spans="1:9" x14ac:dyDescent="0.25">
      <c r="B23" s="12" t="s">
        <v>144</v>
      </c>
      <c r="C23" s="84">
        <v>0.2142690206673501</v>
      </c>
      <c r="D23" s="79"/>
      <c r="E23" s="79"/>
      <c r="F23" s="79"/>
      <c r="G23" s="79"/>
    </row>
    <row r="24" spans="1:9" x14ac:dyDescent="0.25">
      <c r="B24" s="12" t="s">
        <v>142</v>
      </c>
      <c r="C24" s="84">
        <v>0.7857309793326499</v>
      </c>
      <c r="D24" s="79"/>
      <c r="E24" s="79"/>
      <c r="F24" s="79"/>
      <c r="G24" s="79"/>
    </row>
    <row r="25" spans="1:9" x14ac:dyDescent="0.25">
      <c r="C25" s="81"/>
      <c r="D25" s="81"/>
      <c r="E25" s="81"/>
      <c r="F25" s="81"/>
      <c r="G25" s="81"/>
    </row>
    <row r="26" spans="1:9" x14ac:dyDescent="0.25">
      <c r="C26" s="81"/>
      <c r="D26" s="81"/>
      <c r="E26" s="81"/>
      <c r="F26" s="81"/>
      <c r="G26" s="77"/>
      <c r="H26" s="70"/>
    </row>
    <row r="27" spans="1:9" x14ac:dyDescent="0.25">
      <c r="B27" t="s">
        <v>272</v>
      </c>
      <c r="C27" s="81">
        <f>'EE Calculation NEW'!H9</f>
        <v>3291635.89</v>
      </c>
      <c r="D27" s="81"/>
      <c r="E27" s="81"/>
      <c r="F27" s="81"/>
      <c r="G27" s="77"/>
      <c r="H27" s="70"/>
    </row>
    <row r="28" spans="1:9" x14ac:dyDescent="0.25">
      <c r="B28" t="s">
        <v>55</v>
      </c>
      <c r="C28" s="81">
        <f>'EE Calculation NEW'!H10</f>
        <v>4658311</v>
      </c>
      <c r="D28" s="81"/>
      <c r="E28" s="81"/>
      <c r="F28" s="81"/>
      <c r="G28" s="77"/>
      <c r="H28" s="70"/>
    </row>
    <row r="29" spans="1:9" x14ac:dyDescent="0.25">
      <c r="B29" t="s">
        <v>29</v>
      </c>
      <c r="C29" s="81">
        <f>SUM(C27:C28)</f>
        <v>7949946.8900000006</v>
      </c>
      <c r="D29" s="81"/>
      <c r="E29" s="81"/>
      <c r="F29" s="81"/>
      <c r="G29" s="77"/>
      <c r="H29" s="70"/>
    </row>
    <row r="30" spans="1:9" x14ac:dyDescent="0.25">
      <c r="C30" s="70"/>
      <c r="G30" s="72"/>
      <c r="H30" s="70"/>
    </row>
    <row r="31" spans="1:9" x14ac:dyDescent="0.25">
      <c r="C31" s="10" t="s">
        <v>276</v>
      </c>
    </row>
    <row r="32" spans="1:9" x14ac:dyDescent="0.25">
      <c r="A32" s="43" t="s">
        <v>232</v>
      </c>
      <c r="B32" s="82">
        <f>SUM('EE Calculation NEW'!H67:H71)</f>
        <v>1519602.79</v>
      </c>
      <c r="C32" s="82">
        <v>1282.628633395057</v>
      </c>
      <c r="D32" s="70"/>
    </row>
  </sheetData>
  <mergeCells count="3">
    <mergeCell ref="A1:H1"/>
    <mergeCell ref="A2:H2"/>
    <mergeCell ref="A3:H3"/>
  </mergeCells>
  <pageMargins left="0.7" right="0.7" top="0.75" bottom="0.75" header="0.3" footer="0.3"/>
  <pageSetup orientation="portrait" r:id="rId1"/>
  <headerFooter>
    <oddFooter>&amp;L&amp;F
&amp;A&amp;R&amp;P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4C216-FEDB-4D89-B25B-5586CDBB0553}">
  <sheetPr codeName="Sheet1"/>
  <dimension ref="A1:H366"/>
  <sheetViews>
    <sheetView zoomScale="85" zoomScaleNormal="85" workbookViewId="0">
      <selection activeCell="C46" sqref="C46"/>
    </sheetView>
  </sheetViews>
  <sheetFormatPr defaultColWidth="8.7109375" defaultRowHeight="15" x14ac:dyDescent="0.25"/>
  <cols>
    <col min="1" max="1" width="14.140625" style="228" bestFit="1" customWidth="1"/>
    <col min="2" max="2" width="15" style="228" bestFit="1" customWidth="1"/>
    <col min="3" max="3" width="8.7109375" style="44"/>
    <col min="4" max="4" width="12.7109375" style="44" bestFit="1" customWidth="1"/>
    <col min="5" max="5" width="17.140625" style="44" bestFit="1" customWidth="1"/>
    <col min="6" max="6" width="13.28515625" style="44" bestFit="1" customWidth="1"/>
    <col min="7" max="7" width="13.5703125" style="44" bestFit="1" customWidth="1"/>
    <col min="8" max="8" width="5.7109375" style="44" bestFit="1" customWidth="1"/>
    <col min="9" max="16384" width="8.7109375" style="44"/>
  </cols>
  <sheetData>
    <row r="1" spans="1:6" ht="28.5" customHeight="1" x14ac:dyDescent="0.25">
      <c r="A1" s="230" t="s">
        <v>310</v>
      </c>
      <c r="B1" s="230" t="s">
        <v>311</v>
      </c>
    </row>
    <row r="2" spans="1:6" x14ac:dyDescent="0.25">
      <c r="A2" s="44" t="s">
        <v>217</v>
      </c>
      <c r="B2" s="45">
        <v>12000</v>
      </c>
    </row>
    <row r="3" spans="1:6" x14ac:dyDescent="0.25">
      <c r="A3" s="44" t="s">
        <v>212</v>
      </c>
      <c r="B3" s="45">
        <v>12000</v>
      </c>
      <c r="D3" s="46"/>
      <c r="E3" s="49"/>
      <c r="F3" s="51"/>
    </row>
    <row r="4" spans="1:6" x14ac:dyDescent="0.25">
      <c r="A4" s="44" t="s">
        <v>212</v>
      </c>
      <c r="B4" s="45">
        <v>12000</v>
      </c>
      <c r="D4" s="46"/>
      <c r="F4" s="51"/>
    </row>
    <row r="5" spans="1:6" x14ac:dyDescent="0.25">
      <c r="A5" s="44" t="s">
        <v>212</v>
      </c>
      <c r="B5" s="45">
        <v>12000</v>
      </c>
      <c r="D5" s="46"/>
      <c r="E5" s="49"/>
      <c r="F5" s="51"/>
    </row>
    <row r="6" spans="1:6" x14ac:dyDescent="0.25">
      <c r="A6" s="44" t="s">
        <v>217</v>
      </c>
      <c r="B6" s="45">
        <v>12000</v>
      </c>
      <c r="D6" s="47"/>
      <c r="E6" s="49"/>
      <c r="F6" s="51"/>
    </row>
    <row r="7" spans="1:6" x14ac:dyDescent="0.25">
      <c r="A7" s="44" t="s">
        <v>215</v>
      </c>
      <c r="B7" s="45">
        <v>12000</v>
      </c>
      <c r="D7" s="46"/>
    </row>
    <row r="8" spans="1:6" x14ac:dyDescent="0.25">
      <c r="A8" s="44" t="s">
        <v>217</v>
      </c>
      <c r="B8" s="45">
        <v>12000</v>
      </c>
      <c r="D8" s="48"/>
      <c r="E8" s="50"/>
    </row>
    <row r="9" spans="1:6" x14ac:dyDescent="0.25">
      <c r="A9" s="44" t="s">
        <v>217</v>
      </c>
      <c r="B9" s="45">
        <v>12000</v>
      </c>
    </row>
    <row r="10" spans="1:6" x14ac:dyDescent="0.25">
      <c r="A10" s="44" t="s">
        <v>212</v>
      </c>
      <c r="B10" s="45">
        <v>12000</v>
      </c>
    </row>
    <row r="11" spans="1:6" x14ac:dyDescent="0.25">
      <c r="A11" s="44" t="s">
        <v>212</v>
      </c>
      <c r="B11" s="45">
        <v>12000</v>
      </c>
    </row>
    <row r="12" spans="1:6" x14ac:dyDescent="0.25">
      <c r="A12" s="44" t="s">
        <v>212</v>
      </c>
      <c r="B12" s="45">
        <v>12000</v>
      </c>
    </row>
    <row r="13" spans="1:6" x14ac:dyDescent="0.25">
      <c r="A13" s="44" t="s">
        <v>214</v>
      </c>
      <c r="B13" s="45">
        <v>33904.800000000003</v>
      </c>
    </row>
    <row r="14" spans="1:6" x14ac:dyDescent="0.25">
      <c r="A14" s="44" t="s">
        <v>214</v>
      </c>
      <c r="B14" s="45">
        <v>33607.199999999997</v>
      </c>
    </row>
    <row r="15" spans="1:6" x14ac:dyDescent="0.25">
      <c r="A15" s="44" t="s">
        <v>213</v>
      </c>
      <c r="B15" s="45">
        <v>67212</v>
      </c>
      <c r="D15" s="46"/>
      <c r="E15" s="49"/>
      <c r="F15" s="51"/>
    </row>
    <row r="16" spans="1:6" x14ac:dyDescent="0.25">
      <c r="A16" s="44" t="s">
        <v>217</v>
      </c>
      <c r="B16" s="45">
        <v>10800</v>
      </c>
      <c r="D16" s="46"/>
      <c r="F16" s="51"/>
    </row>
    <row r="17" spans="1:8" x14ac:dyDescent="0.25">
      <c r="A17" s="44" t="s">
        <v>216</v>
      </c>
      <c r="B17" s="45">
        <v>10800</v>
      </c>
      <c r="D17" s="46"/>
      <c r="E17" s="49"/>
      <c r="F17" s="51"/>
    </row>
    <row r="18" spans="1:8" x14ac:dyDescent="0.25">
      <c r="A18" s="44" t="s">
        <v>212</v>
      </c>
      <c r="B18" s="45">
        <v>10800</v>
      </c>
      <c r="D18" s="46"/>
      <c r="F18" s="46" t="s">
        <v>3</v>
      </c>
      <c r="G18" s="49">
        <v>600393.41999999993</v>
      </c>
      <c r="H18" s="51">
        <v>8.4156525586731964E-2</v>
      </c>
    </row>
    <row r="19" spans="1:8" x14ac:dyDescent="0.25">
      <c r="A19" s="44" t="s">
        <v>216</v>
      </c>
      <c r="B19" s="45">
        <v>10800</v>
      </c>
      <c r="D19" s="46"/>
      <c r="E19" s="49"/>
      <c r="F19" s="46" t="s">
        <v>221</v>
      </c>
      <c r="G19" s="44">
        <v>0</v>
      </c>
      <c r="H19" s="51">
        <v>0</v>
      </c>
    </row>
    <row r="20" spans="1:8" x14ac:dyDescent="0.25">
      <c r="A20" s="44" t="s">
        <v>212</v>
      </c>
      <c r="B20" s="45">
        <v>10800</v>
      </c>
      <c r="D20" s="47"/>
      <c r="E20" s="49"/>
      <c r="F20" s="46" t="s">
        <v>44</v>
      </c>
      <c r="G20" s="49">
        <v>6257793.3400000036</v>
      </c>
      <c r="H20" s="51">
        <v>0.87714842933187254</v>
      </c>
    </row>
    <row r="21" spans="1:8" x14ac:dyDescent="0.25">
      <c r="A21" s="44" t="s">
        <v>218</v>
      </c>
      <c r="B21" s="45">
        <v>10800</v>
      </c>
      <c r="D21" s="46"/>
      <c r="F21" s="47" t="s">
        <v>8</v>
      </c>
      <c r="G21" s="49">
        <v>276060</v>
      </c>
      <c r="H21" s="51">
        <v>3.8695045081395513E-2</v>
      </c>
    </row>
    <row r="22" spans="1:8" x14ac:dyDescent="0.25">
      <c r="A22" s="44" t="s">
        <v>216</v>
      </c>
      <c r="B22" s="45">
        <v>10800</v>
      </c>
      <c r="D22" s="48"/>
      <c r="E22" s="50"/>
      <c r="F22" s="46" t="s">
        <v>43</v>
      </c>
      <c r="G22" s="44">
        <v>0</v>
      </c>
      <c r="H22" s="51">
        <v>0</v>
      </c>
    </row>
    <row r="23" spans="1:8" x14ac:dyDescent="0.25">
      <c r="A23" s="44" t="s">
        <v>212</v>
      </c>
      <c r="B23" s="45">
        <v>10800</v>
      </c>
      <c r="F23" s="48" t="s">
        <v>29</v>
      </c>
      <c r="G23" s="53">
        <v>7134246.7600000035</v>
      </c>
      <c r="H23" s="52">
        <v>1</v>
      </c>
    </row>
    <row r="24" spans="1:8" x14ac:dyDescent="0.25">
      <c r="A24" s="44" t="s">
        <v>212</v>
      </c>
      <c r="B24" s="45">
        <v>10800</v>
      </c>
      <c r="D24" s="46"/>
      <c r="E24" s="49"/>
      <c r="F24" s="51"/>
    </row>
    <row r="25" spans="1:8" x14ac:dyDescent="0.25">
      <c r="A25" s="44" t="s">
        <v>214</v>
      </c>
      <c r="B25" s="45">
        <v>32400</v>
      </c>
      <c r="D25" s="46"/>
      <c r="F25" s="51"/>
    </row>
    <row r="26" spans="1:8" x14ac:dyDescent="0.25">
      <c r="A26" s="44" t="s">
        <v>213</v>
      </c>
      <c r="B26" s="45">
        <v>32400</v>
      </c>
      <c r="D26" s="46"/>
      <c r="E26" s="49"/>
      <c r="F26" s="51"/>
    </row>
    <row r="27" spans="1:8" x14ac:dyDescent="0.25">
      <c r="A27" s="44" t="s">
        <v>212</v>
      </c>
      <c r="B27" s="45">
        <v>10800</v>
      </c>
      <c r="D27" s="47"/>
      <c r="E27" s="49"/>
      <c r="F27" s="51"/>
    </row>
    <row r="28" spans="1:8" x14ac:dyDescent="0.25">
      <c r="A28" s="44" t="s">
        <v>212</v>
      </c>
      <c r="B28" s="45">
        <v>10800</v>
      </c>
      <c r="D28" s="46"/>
    </row>
    <row r="29" spans="1:8" x14ac:dyDescent="0.25">
      <c r="A29" s="44" t="s">
        <v>212</v>
      </c>
      <c r="B29" s="45">
        <v>10800</v>
      </c>
      <c r="D29" s="48"/>
      <c r="E29" s="50"/>
    </row>
    <row r="30" spans="1:8" x14ac:dyDescent="0.25">
      <c r="A30" s="44" t="s">
        <v>212</v>
      </c>
      <c r="B30" s="45">
        <v>10800</v>
      </c>
    </row>
    <row r="31" spans="1:8" x14ac:dyDescent="0.25">
      <c r="A31" s="44" t="s">
        <v>212</v>
      </c>
      <c r="B31" s="45">
        <v>10800</v>
      </c>
    </row>
    <row r="32" spans="1:8" x14ac:dyDescent="0.25">
      <c r="A32" s="44" t="s">
        <v>213</v>
      </c>
      <c r="B32" s="45">
        <v>370139.09</v>
      </c>
    </row>
    <row r="33" spans="1:2" x14ac:dyDescent="0.25">
      <c r="A33" s="44" t="s">
        <v>214</v>
      </c>
      <c r="B33" s="45">
        <v>41491.440000000002</v>
      </c>
    </row>
    <row r="34" spans="1:2" x14ac:dyDescent="0.25">
      <c r="A34" s="44" t="s">
        <v>212</v>
      </c>
      <c r="B34" s="45">
        <v>10800</v>
      </c>
    </row>
    <row r="35" spans="1:2" x14ac:dyDescent="0.25">
      <c r="A35" s="44" t="s">
        <v>214</v>
      </c>
      <c r="B35" s="45">
        <v>504000</v>
      </c>
    </row>
    <row r="36" spans="1:2" x14ac:dyDescent="0.25">
      <c r="A36" s="44" t="s">
        <v>212</v>
      </c>
      <c r="B36" s="45">
        <v>9720</v>
      </c>
    </row>
    <row r="37" spans="1:2" x14ac:dyDescent="0.25">
      <c r="A37" s="44" t="s">
        <v>212</v>
      </c>
      <c r="B37" s="45">
        <v>9720</v>
      </c>
    </row>
    <row r="38" spans="1:2" x14ac:dyDescent="0.25">
      <c r="A38" s="44" t="s">
        <v>212</v>
      </c>
      <c r="B38" s="45">
        <v>9720</v>
      </c>
    </row>
    <row r="39" spans="1:2" x14ac:dyDescent="0.25">
      <c r="A39" s="44" t="s">
        <v>212</v>
      </c>
      <c r="B39" s="45">
        <v>9720</v>
      </c>
    </row>
    <row r="40" spans="1:2" x14ac:dyDescent="0.25">
      <c r="A40" s="44" t="s">
        <v>212</v>
      </c>
      <c r="B40" s="45">
        <v>9720</v>
      </c>
    </row>
    <row r="41" spans="1:2" x14ac:dyDescent="0.25">
      <c r="A41" s="44" t="s">
        <v>212</v>
      </c>
      <c r="B41" s="45">
        <v>9720</v>
      </c>
    </row>
    <row r="42" spans="1:2" x14ac:dyDescent="0.25">
      <c r="A42" s="44" t="s">
        <v>212</v>
      </c>
      <c r="B42" s="45">
        <v>9720</v>
      </c>
    </row>
    <row r="43" spans="1:2" x14ac:dyDescent="0.25">
      <c r="A43" s="44" t="s">
        <v>212</v>
      </c>
      <c r="B43" s="45">
        <v>9720</v>
      </c>
    </row>
    <row r="44" spans="1:2" x14ac:dyDescent="0.25">
      <c r="A44" s="44" t="s">
        <v>212</v>
      </c>
      <c r="B44" s="45">
        <v>9720</v>
      </c>
    </row>
    <row r="45" spans="1:2" x14ac:dyDescent="0.25">
      <c r="A45" s="44" t="s">
        <v>212</v>
      </c>
      <c r="B45" s="45">
        <v>9720</v>
      </c>
    </row>
    <row r="46" spans="1:2" x14ac:dyDescent="0.25">
      <c r="A46" s="44" t="s">
        <v>212</v>
      </c>
      <c r="B46" s="45">
        <v>9720</v>
      </c>
    </row>
    <row r="47" spans="1:2" x14ac:dyDescent="0.25">
      <c r="A47" s="44" t="s">
        <v>213</v>
      </c>
      <c r="B47" s="45">
        <v>54443.66</v>
      </c>
    </row>
    <row r="48" spans="1:2" x14ac:dyDescent="0.25">
      <c r="A48" s="44" t="s">
        <v>213</v>
      </c>
      <c r="B48" s="45">
        <v>27221.83</v>
      </c>
    </row>
    <row r="49" spans="1:2" x14ac:dyDescent="0.25">
      <c r="A49" s="44" t="s">
        <v>213</v>
      </c>
      <c r="B49" s="45">
        <v>27221.83</v>
      </c>
    </row>
    <row r="50" spans="1:2" x14ac:dyDescent="0.25">
      <c r="A50" s="44" t="s">
        <v>212</v>
      </c>
      <c r="B50" s="45">
        <v>9720</v>
      </c>
    </row>
    <row r="51" spans="1:2" x14ac:dyDescent="0.25">
      <c r="A51" s="44" t="s">
        <v>212</v>
      </c>
      <c r="B51" s="45">
        <v>9720</v>
      </c>
    </row>
    <row r="52" spans="1:2" x14ac:dyDescent="0.25">
      <c r="A52" s="44" t="s">
        <v>212</v>
      </c>
      <c r="B52" s="45">
        <v>9720</v>
      </c>
    </row>
    <row r="53" spans="1:2" x14ac:dyDescent="0.25">
      <c r="A53" s="44" t="s">
        <v>212</v>
      </c>
      <c r="B53" s="45">
        <v>9720</v>
      </c>
    </row>
    <row r="54" spans="1:2" x14ac:dyDescent="0.25">
      <c r="A54" s="44" t="s">
        <v>212</v>
      </c>
      <c r="B54" s="45">
        <v>9720</v>
      </c>
    </row>
    <row r="55" spans="1:2" x14ac:dyDescent="0.25">
      <c r="A55" s="44" t="s">
        <v>212</v>
      </c>
      <c r="B55" s="45">
        <v>9720</v>
      </c>
    </row>
    <row r="56" spans="1:2" x14ac:dyDescent="0.25">
      <c r="A56" s="44" t="s">
        <v>212</v>
      </c>
      <c r="B56" s="45">
        <v>9720</v>
      </c>
    </row>
    <row r="57" spans="1:2" x14ac:dyDescent="0.25">
      <c r="A57" s="44" t="s">
        <v>214</v>
      </c>
      <c r="B57" s="45">
        <v>27221.83</v>
      </c>
    </row>
    <row r="58" spans="1:2" x14ac:dyDescent="0.25">
      <c r="A58" s="44" t="s">
        <v>214</v>
      </c>
      <c r="B58" s="45">
        <v>54511.7</v>
      </c>
    </row>
    <row r="59" spans="1:2" x14ac:dyDescent="0.25">
      <c r="A59" s="44" t="s">
        <v>212</v>
      </c>
      <c r="B59" s="45">
        <v>9720</v>
      </c>
    </row>
    <row r="60" spans="1:2" x14ac:dyDescent="0.25">
      <c r="A60" s="44" t="s">
        <v>212</v>
      </c>
      <c r="B60" s="45">
        <v>9720</v>
      </c>
    </row>
    <row r="61" spans="1:2" x14ac:dyDescent="0.25">
      <c r="A61" s="44" t="s">
        <v>213</v>
      </c>
      <c r="B61" s="45">
        <v>54927.72</v>
      </c>
    </row>
    <row r="62" spans="1:2" x14ac:dyDescent="0.25">
      <c r="A62" s="44" t="s">
        <v>212</v>
      </c>
      <c r="B62" s="45">
        <v>9720</v>
      </c>
    </row>
    <row r="63" spans="1:2" x14ac:dyDescent="0.25">
      <c r="A63" s="44" t="s">
        <v>214</v>
      </c>
      <c r="B63" s="45">
        <v>54927.72</v>
      </c>
    </row>
    <row r="64" spans="1:2" x14ac:dyDescent="0.25">
      <c r="A64" s="44" t="s">
        <v>213</v>
      </c>
      <c r="B64" s="45">
        <v>27462.89</v>
      </c>
    </row>
    <row r="65" spans="1:2" x14ac:dyDescent="0.25">
      <c r="A65" s="44" t="s">
        <v>213</v>
      </c>
      <c r="B65" s="45">
        <v>38335.68</v>
      </c>
    </row>
    <row r="66" spans="1:2" x14ac:dyDescent="0.25">
      <c r="A66" s="44" t="s">
        <v>214</v>
      </c>
      <c r="B66" s="45">
        <v>58314.17</v>
      </c>
    </row>
    <row r="67" spans="1:2" x14ac:dyDescent="0.25">
      <c r="A67" s="44" t="s">
        <v>212</v>
      </c>
      <c r="B67" s="45">
        <v>9720</v>
      </c>
    </row>
    <row r="68" spans="1:2" x14ac:dyDescent="0.25">
      <c r="A68" s="44" t="s">
        <v>212</v>
      </c>
      <c r="B68" s="45">
        <v>9720</v>
      </c>
    </row>
    <row r="69" spans="1:2" x14ac:dyDescent="0.25">
      <c r="A69" s="44" t="s">
        <v>212</v>
      </c>
      <c r="B69" s="45">
        <v>9720</v>
      </c>
    </row>
    <row r="70" spans="1:2" x14ac:dyDescent="0.25">
      <c r="A70" s="44" t="s">
        <v>213</v>
      </c>
      <c r="B70" s="45">
        <v>240000</v>
      </c>
    </row>
    <row r="71" spans="1:2" x14ac:dyDescent="0.25">
      <c r="A71" s="44" t="s">
        <v>214</v>
      </c>
      <c r="B71" s="45">
        <v>54442.27</v>
      </c>
    </row>
    <row r="72" spans="1:2" x14ac:dyDescent="0.25">
      <c r="A72" s="44" t="s">
        <v>213</v>
      </c>
      <c r="B72" s="45">
        <v>38880</v>
      </c>
    </row>
    <row r="73" spans="1:2" x14ac:dyDescent="0.25">
      <c r="A73" s="44" t="s">
        <v>214</v>
      </c>
      <c r="B73" s="45">
        <v>27221.83</v>
      </c>
    </row>
    <row r="74" spans="1:2" x14ac:dyDescent="0.25">
      <c r="A74" s="44" t="s">
        <v>218</v>
      </c>
      <c r="B74" s="45">
        <v>9720</v>
      </c>
    </row>
    <row r="75" spans="1:2" x14ac:dyDescent="0.25">
      <c r="A75" s="44" t="s">
        <v>212</v>
      </c>
      <c r="B75" s="45">
        <v>9720</v>
      </c>
    </row>
    <row r="76" spans="1:2" x14ac:dyDescent="0.25">
      <c r="A76" s="44" t="s">
        <v>214</v>
      </c>
      <c r="B76" s="45">
        <v>27221.83</v>
      </c>
    </row>
    <row r="77" spans="1:2" x14ac:dyDescent="0.25">
      <c r="A77" s="44" t="s">
        <v>212</v>
      </c>
      <c r="B77" s="45">
        <v>9720</v>
      </c>
    </row>
    <row r="78" spans="1:2" x14ac:dyDescent="0.25">
      <c r="A78" s="44" t="s">
        <v>212</v>
      </c>
      <c r="B78" s="45">
        <v>9720</v>
      </c>
    </row>
    <row r="79" spans="1:2" x14ac:dyDescent="0.25">
      <c r="A79" s="44" t="s">
        <v>214</v>
      </c>
      <c r="B79" s="45">
        <v>54443.66</v>
      </c>
    </row>
    <row r="80" spans="1:2" x14ac:dyDescent="0.25">
      <c r="A80" s="44" t="s">
        <v>220</v>
      </c>
      <c r="B80" s="45">
        <v>9278.7099999999991</v>
      </c>
    </row>
    <row r="81" spans="1:2" x14ac:dyDescent="0.25">
      <c r="A81" s="44" t="s">
        <v>213</v>
      </c>
      <c r="B81" s="45">
        <v>54443.66</v>
      </c>
    </row>
    <row r="82" spans="1:2" x14ac:dyDescent="0.25">
      <c r="A82" s="44" t="s">
        <v>213</v>
      </c>
      <c r="B82" s="45">
        <v>27221.83</v>
      </c>
    </row>
    <row r="83" spans="1:2" x14ac:dyDescent="0.25">
      <c r="A83" s="44" t="s">
        <v>212</v>
      </c>
      <c r="B83" s="45">
        <v>9720</v>
      </c>
    </row>
    <row r="84" spans="1:2" x14ac:dyDescent="0.25">
      <c r="A84" s="44" t="s">
        <v>214</v>
      </c>
      <c r="B84" s="45">
        <v>41941.14</v>
      </c>
    </row>
    <row r="85" spans="1:2" x14ac:dyDescent="0.25">
      <c r="A85" s="44" t="s">
        <v>214</v>
      </c>
      <c r="B85" s="45">
        <v>54443.66</v>
      </c>
    </row>
    <row r="86" spans="1:2" x14ac:dyDescent="0.25">
      <c r="A86" s="44" t="s">
        <v>214</v>
      </c>
      <c r="B86" s="45">
        <v>27221.83</v>
      </c>
    </row>
    <row r="87" spans="1:2" x14ac:dyDescent="0.25">
      <c r="A87" s="44" t="s">
        <v>214</v>
      </c>
      <c r="B87" s="45">
        <v>230580</v>
      </c>
    </row>
    <row r="88" spans="1:2" x14ac:dyDescent="0.25">
      <c r="A88" s="44" t="s">
        <v>214</v>
      </c>
      <c r="B88" s="45">
        <v>282654.57</v>
      </c>
    </row>
    <row r="89" spans="1:2" x14ac:dyDescent="0.25">
      <c r="A89" s="44" t="s">
        <v>214</v>
      </c>
      <c r="B89" s="45">
        <v>284064.15000000002</v>
      </c>
    </row>
    <row r="90" spans="1:2" x14ac:dyDescent="0.25">
      <c r="A90" s="44" t="s">
        <v>213</v>
      </c>
      <c r="B90" s="45">
        <v>54441.72</v>
      </c>
    </row>
    <row r="91" spans="1:2" x14ac:dyDescent="0.25">
      <c r="A91" s="44" t="s">
        <v>214</v>
      </c>
      <c r="B91" s="45">
        <v>29130.84</v>
      </c>
    </row>
    <row r="92" spans="1:2" x14ac:dyDescent="0.25">
      <c r="A92" s="44" t="s">
        <v>213</v>
      </c>
      <c r="B92" s="45">
        <v>29130.84</v>
      </c>
    </row>
    <row r="93" spans="1:2" x14ac:dyDescent="0.25">
      <c r="A93" s="44" t="s">
        <v>214</v>
      </c>
      <c r="B93" s="45">
        <v>52560</v>
      </c>
    </row>
    <row r="94" spans="1:2" x14ac:dyDescent="0.25">
      <c r="A94" s="44" t="s">
        <v>214</v>
      </c>
      <c r="B94" s="45">
        <v>219000</v>
      </c>
    </row>
    <row r="95" spans="1:2" x14ac:dyDescent="0.25">
      <c r="A95" s="44" t="s">
        <v>214</v>
      </c>
      <c r="B95" s="45">
        <v>219000</v>
      </c>
    </row>
    <row r="96" spans="1:2" x14ac:dyDescent="0.25">
      <c r="A96" s="44" t="s">
        <v>214</v>
      </c>
      <c r="B96" s="45">
        <v>219000</v>
      </c>
    </row>
    <row r="97" spans="1:2" x14ac:dyDescent="0.25">
      <c r="A97" s="44" t="s">
        <v>214</v>
      </c>
      <c r="B97" s="45">
        <v>219000</v>
      </c>
    </row>
    <row r="98" spans="1:2" x14ac:dyDescent="0.25">
      <c r="A98" s="44" t="s">
        <v>214</v>
      </c>
      <c r="B98" s="45">
        <v>219000</v>
      </c>
    </row>
    <row r="99" spans="1:2" x14ac:dyDescent="0.25">
      <c r="A99" s="44" t="s">
        <v>214</v>
      </c>
      <c r="B99" s="45">
        <v>219000</v>
      </c>
    </row>
    <row r="100" spans="1:2" x14ac:dyDescent="0.25">
      <c r="A100" s="44" t="s">
        <v>214</v>
      </c>
      <c r="B100" s="45">
        <v>219000</v>
      </c>
    </row>
    <row r="101" spans="1:2" x14ac:dyDescent="0.25">
      <c r="A101" s="44" t="s">
        <v>213</v>
      </c>
      <c r="B101" s="45">
        <v>52560</v>
      </c>
    </row>
    <row r="102" spans="1:2" x14ac:dyDescent="0.25">
      <c r="A102" s="44" t="s">
        <v>213</v>
      </c>
      <c r="B102" s="45">
        <v>105120</v>
      </c>
    </row>
    <row r="103" spans="1:2" x14ac:dyDescent="0.25">
      <c r="A103" s="44" t="s">
        <v>213</v>
      </c>
      <c r="B103" s="45">
        <v>105120</v>
      </c>
    </row>
    <row r="104" spans="1:2" x14ac:dyDescent="0.25">
      <c r="A104" s="44" t="s">
        <v>213</v>
      </c>
      <c r="B104" s="45">
        <v>52542.48</v>
      </c>
    </row>
    <row r="105" spans="1:2" x14ac:dyDescent="0.25">
      <c r="A105" s="44" t="s">
        <v>213</v>
      </c>
      <c r="B105" s="45">
        <v>52542.48</v>
      </c>
    </row>
    <row r="106" spans="1:2" x14ac:dyDescent="0.25">
      <c r="A106" s="44" t="s">
        <v>213</v>
      </c>
      <c r="B106" s="45">
        <v>52542.48</v>
      </c>
    </row>
    <row r="107" spans="1:2" x14ac:dyDescent="0.25">
      <c r="A107" s="44" t="s">
        <v>212</v>
      </c>
      <c r="B107" s="45">
        <v>8760</v>
      </c>
    </row>
    <row r="108" spans="1:2" x14ac:dyDescent="0.25">
      <c r="A108" s="44" t="s">
        <v>219</v>
      </c>
      <c r="B108" s="45">
        <v>276060</v>
      </c>
    </row>
    <row r="109" spans="1:2" x14ac:dyDescent="0.25">
      <c r="A109" s="44" t="s">
        <v>213</v>
      </c>
      <c r="B109" s="45">
        <v>52542.48</v>
      </c>
    </row>
    <row r="110" spans="1:2" x14ac:dyDescent="0.25">
      <c r="A110" s="44" t="s">
        <v>214</v>
      </c>
      <c r="B110" s="45">
        <v>660000</v>
      </c>
    </row>
    <row r="111" spans="1:2" x14ac:dyDescent="0.25">
      <c r="A111" s="44" t="s">
        <v>212</v>
      </c>
      <c r="B111" s="45">
        <v>6474.71</v>
      </c>
    </row>
    <row r="112" spans="1:2" x14ac:dyDescent="0.25">
      <c r="A112" s="44" t="s">
        <v>213</v>
      </c>
      <c r="B112" s="45">
        <v>49066.51</v>
      </c>
    </row>
    <row r="113" spans="1:2" x14ac:dyDescent="0.25">
      <c r="A113" s="44" t="s">
        <v>214</v>
      </c>
      <c r="B113" s="45">
        <v>26253.72</v>
      </c>
    </row>
    <row r="114" spans="1:2" x14ac:dyDescent="0.25">
      <c r="A114" s="44" t="s">
        <v>214</v>
      </c>
      <c r="B114" s="45">
        <v>52507.44</v>
      </c>
    </row>
    <row r="115" spans="1:2" x14ac:dyDescent="0.25">
      <c r="A115" s="44" t="s">
        <v>214</v>
      </c>
      <c r="B115" s="45">
        <v>52507.44</v>
      </c>
    </row>
    <row r="116" spans="1:2" x14ac:dyDescent="0.25">
      <c r="A116" s="44" t="s">
        <v>214</v>
      </c>
      <c r="B116" s="45">
        <v>26262.48</v>
      </c>
    </row>
    <row r="117" spans="1:2" x14ac:dyDescent="0.25">
      <c r="A117" s="44" t="s">
        <v>213</v>
      </c>
      <c r="B117" s="45">
        <v>23564.28</v>
      </c>
    </row>
    <row r="118" spans="1:2" x14ac:dyDescent="0.25">
      <c r="A118" s="44" t="s">
        <v>214</v>
      </c>
      <c r="B118" s="45">
        <v>23564.28</v>
      </c>
    </row>
    <row r="119" spans="1:2" x14ac:dyDescent="0.25">
      <c r="A119" s="44" t="s">
        <v>214</v>
      </c>
      <c r="B119" s="45">
        <v>23564.28</v>
      </c>
    </row>
    <row r="120" spans="1:2" x14ac:dyDescent="0.25">
      <c r="A120" s="44" t="s">
        <v>213</v>
      </c>
      <c r="B120" s="45">
        <v>23564.28</v>
      </c>
    </row>
    <row r="121" spans="1:2" x14ac:dyDescent="0.25">
      <c r="A121" s="44" t="s">
        <v>214</v>
      </c>
      <c r="B121" s="45">
        <v>70488.479999999996</v>
      </c>
    </row>
    <row r="122" spans="1:2" x14ac:dyDescent="0.25">
      <c r="A122" s="44" t="s">
        <v>213</v>
      </c>
      <c r="B122" s="45">
        <v>70692.84</v>
      </c>
    </row>
    <row r="123" spans="1:2" x14ac:dyDescent="0.25">
      <c r="B123" s="45"/>
    </row>
    <row r="124" spans="1:2" x14ac:dyDescent="0.25">
      <c r="B124" s="231"/>
    </row>
    <row r="125" spans="1:2" x14ac:dyDescent="0.25">
      <c r="A125" s="44"/>
      <c r="B125" s="41"/>
    </row>
    <row r="126" spans="1:2" x14ac:dyDescent="0.25">
      <c r="A126" s="44"/>
      <c r="B126" s="41"/>
    </row>
    <row r="127" spans="1:2" x14ac:dyDescent="0.25">
      <c r="B127" s="229"/>
    </row>
    <row r="128" spans="1:2" x14ac:dyDescent="0.25">
      <c r="B128" s="229"/>
    </row>
    <row r="129" spans="1:2" x14ac:dyDescent="0.25">
      <c r="A129" s="44"/>
      <c r="B129" s="41"/>
    </row>
    <row r="130" spans="1:2" x14ac:dyDescent="0.25">
      <c r="B130" s="229"/>
    </row>
    <row r="131" spans="1:2" x14ac:dyDescent="0.25">
      <c r="B131" s="229"/>
    </row>
    <row r="132" spans="1:2" x14ac:dyDescent="0.25">
      <c r="A132" s="44"/>
      <c r="B132" s="41"/>
    </row>
    <row r="133" spans="1:2" x14ac:dyDescent="0.25">
      <c r="A133" s="44"/>
      <c r="B133" s="41"/>
    </row>
    <row r="134" spans="1:2" x14ac:dyDescent="0.25">
      <c r="A134" s="44"/>
      <c r="B134" s="41"/>
    </row>
    <row r="135" spans="1:2" x14ac:dyDescent="0.25">
      <c r="A135" s="44"/>
      <c r="B135" s="41"/>
    </row>
    <row r="136" spans="1:2" x14ac:dyDescent="0.25">
      <c r="A136" s="44"/>
      <c r="B136" s="41"/>
    </row>
    <row r="137" spans="1:2" x14ac:dyDescent="0.25">
      <c r="A137" s="44"/>
      <c r="B137" s="41"/>
    </row>
    <row r="138" spans="1:2" x14ac:dyDescent="0.25">
      <c r="B138" s="229"/>
    </row>
    <row r="139" spans="1:2" x14ac:dyDescent="0.25">
      <c r="A139" s="44"/>
      <c r="B139" s="41"/>
    </row>
    <row r="140" spans="1:2" x14ac:dyDescent="0.25">
      <c r="A140" s="44"/>
      <c r="B140" s="41"/>
    </row>
    <row r="141" spans="1:2" x14ac:dyDescent="0.25">
      <c r="A141" s="44"/>
      <c r="B141" s="41"/>
    </row>
    <row r="142" spans="1:2" x14ac:dyDescent="0.25">
      <c r="B142" s="229"/>
    </row>
    <row r="143" spans="1:2" x14ac:dyDescent="0.25">
      <c r="B143" s="229"/>
    </row>
    <row r="144" spans="1:2" x14ac:dyDescent="0.25">
      <c r="A144" s="44"/>
      <c r="B144" s="41"/>
    </row>
    <row r="145" spans="1:2" x14ac:dyDescent="0.25">
      <c r="A145" s="44"/>
      <c r="B145" s="41"/>
    </row>
    <row r="146" spans="1:2" x14ac:dyDescent="0.25">
      <c r="B146" s="229"/>
    </row>
    <row r="147" spans="1:2" x14ac:dyDescent="0.25">
      <c r="A147" s="44"/>
      <c r="B147" s="41"/>
    </row>
    <row r="148" spans="1:2" x14ac:dyDescent="0.25">
      <c r="B148" s="229"/>
    </row>
    <row r="149" spans="1:2" x14ac:dyDescent="0.25">
      <c r="B149" s="229"/>
    </row>
    <row r="150" spans="1:2" x14ac:dyDescent="0.25">
      <c r="B150" s="229"/>
    </row>
    <row r="151" spans="1:2" x14ac:dyDescent="0.25">
      <c r="A151" s="44"/>
      <c r="B151" s="41"/>
    </row>
    <row r="152" spans="1:2" x14ac:dyDescent="0.25">
      <c r="A152" s="44"/>
      <c r="B152" s="41"/>
    </row>
    <row r="153" spans="1:2" x14ac:dyDescent="0.25">
      <c r="A153" s="44"/>
      <c r="B153" s="41"/>
    </row>
    <row r="154" spans="1:2" x14ac:dyDescent="0.25">
      <c r="A154" s="44"/>
      <c r="B154" s="41"/>
    </row>
    <row r="155" spans="1:2" x14ac:dyDescent="0.25">
      <c r="A155" s="44"/>
      <c r="B155" s="41"/>
    </row>
    <row r="156" spans="1:2" x14ac:dyDescent="0.25">
      <c r="A156" s="44"/>
      <c r="B156" s="41"/>
    </row>
    <row r="157" spans="1:2" x14ac:dyDescent="0.25">
      <c r="B157" s="229"/>
    </row>
    <row r="158" spans="1:2" x14ac:dyDescent="0.25">
      <c r="B158" s="229"/>
    </row>
    <row r="159" spans="1:2" x14ac:dyDescent="0.25">
      <c r="A159" s="44"/>
      <c r="B159" s="41"/>
    </row>
    <row r="160" spans="1:2" x14ac:dyDescent="0.25">
      <c r="B160" s="229"/>
    </row>
    <row r="161" spans="1:2" x14ac:dyDescent="0.25">
      <c r="A161" s="44"/>
      <c r="B161" s="41"/>
    </row>
    <row r="162" spans="1:2" x14ac:dyDescent="0.25">
      <c r="A162" s="44"/>
      <c r="B162" s="41"/>
    </row>
    <row r="163" spans="1:2" x14ac:dyDescent="0.25">
      <c r="B163" s="229"/>
    </row>
    <row r="164" spans="1:2" x14ac:dyDescent="0.25">
      <c r="A164" s="44"/>
      <c r="B164" s="41"/>
    </row>
    <row r="165" spans="1:2" x14ac:dyDescent="0.25">
      <c r="B165" s="229"/>
    </row>
    <row r="166" spans="1:2" x14ac:dyDescent="0.25">
      <c r="B166" s="229"/>
    </row>
    <row r="167" spans="1:2" x14ac:dyDescent="0.25">
      <c r="A167" s="44"/>
      <c r="B167" s="41"/>
    </row>
    <row r="168" spans="1:2" x14ac:dyDescent="0.25">
      <c r="A168" s="44"/>
      <c r="B168" s="41"/>
    </row>
    <row r="169" spans="1:2" x14ac:dyDescent="0.25">
      <c r="B169" s="229"/>
    </row>
    <row r="170" spans="1:2" x14ac:dyDescent="0.25">
      <c r="B170" s="229"/>
    </row>
    <row r="171" spans="1:2" x14ac:dyDescent="0.25">
      <c r="A171" s="44"/>
      <c r="B171" s="41"/>
    </row>
    <row r="172" spans="1:2" x14ac:dyDescent="0.25">
      <c r="B172" s="229"/>
    </row>
    <row r="173" spans="1:2" x14ac:dyDescent="0.25">
      <c r="B173" s="229"/>
    </row>
    <row r="174" spans="1:2" x14ac:dyDescent="0.25">
      <c r="B174" s="229"/>
    </row>
    <row r="175" spans="1:2" x14ac:dyDescent="0.25">
      <c r="A175" s="44"/>
      <c r="B175" s="41"/>
    </row>
    <row r="176" spans="1:2" x14ac:dyDescent="0.25">
      <c r="B176" s="229"/>
    </row>
    <row r="177" spans="1:2" x14ac:dyDescent="0.25">
      <c r="B177" s="229"/>
    </row>
    <row r="178" spans="1:2" x14ac:dyDescent="0.25">
      <c r="B178" s="229"/>
    </row>
    <row r="179" spans="1:2" x14ac:dyDescent="0.25">
      <c r="B179" s="229"/>
    </row>
    <row r="180" spans="1:2" x14ac:dyDescent="0.25">
      <c r="A180" s="44"/>
      <c r="B180" s="41"/>
    </row>
    <row r="181" spans="1:2" x14ac:dyDescent="0.25">
      <c r="B181" s="229"/>
    </row>
    <row r="182" spans="1:2" x14ac:dyDescent="0.25">
      <c r="A182" s="44"/>
      <c r="B182" s="41"/>
    </row>
    <row r="183" spans="1:2" x14ac:dyDescent="0.25">
      <c r="A183" s="44"/>
      <c r="B183" s="41"/>
    </row>
    <row r="184" spans="1:2" x14ac:dyDescent="0.25">
      <c r="B184" s="229"/>
    </row>
    <row r="185" spans="1:2" x14ac:dyDescent="0.25">
      <c r="B185" s="229"/>
    </row>
    <row r="186" spans="1:2" x14ac:dyDescent="0.25">
      <c r="B186" s="229"/>
    </row>
    <row r="187" spans="1:2" x14ac:dyDescent="0.25">
      <c r="A187" s="44"/>
      <c r="B187" s="41"/>
    </row>
    <row r="188" spans="1:2" x14ac:dyDescent="0.25">
      <c r="B188" s="229"/>
    </row>
    <row r="189" spans="1:2" x14ac:dyDescent="0.25">
      <c r="B189" s="229"/>
    </row>
    <row r="190" spans="1:2" x14ac:dyDescent="0.25">
      <c r="B190" s="229"/>
    </row>
    <row r="191" spans="1:2" x14ac:dyDescent="0.25">
      <c r="B191" s="229"/>
    </row>
    <row r="192" spans="1:2" x14ac:dyDescent="0.25">
      <c r="A192" s="44"/>
      <c r="B192" s="41"/>
    </row>
    <row r="193" spans="1:2" x14ac:dyDescent="0.25">
      <c r="A193" s="44"/>
      <c r="B193" s="41"/>
    </row>
    <row r="194" spans="1:2" x14ac:dyDescent="0.25">
      <c r="B194" s="229"/>
    </row>
    <row r="195" spans="1:2" x14ac:dyDescent="0.25">
      <c r="B195" s="229"/>
    </row>
    <row r="196" spans="1:2" x14ac:dyDescent="0.25">
      <c r="B196" s="229"/>
    </row>
    <row r="197" spans="1:2" x14ac:dyDescent="0.25">
      <c r="B197" s="229"/>
    </row>
    <row r="198" spans="1:2" x14ac:dyDescent="0.25">
      <c r="A198" s="44"/>
      <c r="B198" s="41"/>
    </row>
    <row r="199" spans="1:2" x14ac:dyDescent="0.25">
      <c r="B199" s="229"/>
    </row>
    <row r="200" spans="1:2" x14ac:dyDescent="0.25">
      <c r="B200" s="229"/>
    </row>
    <row r="201" spans="1:2" x14ac:dyDescent="0.25">
      <c r="B201" s="229"/>
    </row>
    <row r="202" spans="1:2" x14ac:dyDescent="0.25">
      <c r="B202" s="229"/>
    </row>
    <row r="203" spans="1:2" x14ac:dyDescent="0.25">
      <c r="B203" s="229"/>
    </row>
    <row r="204" spans="1:2" x14ac:dyDescent="0.25">
      <c r="B204" s="229"/>
    </row>
    <row r="205" spans="1:2" x14ac:dyDescent="0.25">
      <c r="A205" s="44"/>
      <c r="B205" s="41"/>
    </row>
    <row r="206" spans="1:2" x14ac:dyDescent="0.25">
      <c r="A206" s="44"/>
      <c r="B206" s="41"/>
    </row>
    <row r="207" spans="1:2" x14ac:dyDescent="0.25">
      <c r="A207" s="44"/>
      <c r="B207" s="41"/>
    </row>
    <row r="208" spans="1:2" x14ac:dyDescent="0.25">
      <c r="A208" s="44"/>
      <c r="B208" s="41"/>
    </row>
    <row r="209" spans="1:2" x14ac:dyDescent="0.25">
      <c r="A209" s="44"/>
      <c r="B209" s="41"/>
    </row>
    <row r="210" spans="1:2" x14ac:dyDescent="0.25">
      <c r="A210" s="44"/>
      <c r="B210" s="44"/>
    </row>
    <row r="211" spans="1:2" x14ac:dyDescent="0.25">
      <c r="A211" s="44"/>
      <c r="B211" s="44"/>
    </row>
    <row r="212" spans="1:2" x14ac:dyDescent="0.25">
      <c r="A212" s="44"/>
      <c r="B212" s="44"/>
    </row>
    <row r="213" spans="1:2" x14ac:dyDescent="0.25">
      <c r="A213" s="44"/>
      <c r="B213" s="44"/>
    </row>
    <row r="214" spans="1:2" x14ac:dyDescent="0.25">
      <c r="A214" s="44"/>
      <c r="B214" s="44"/>
    </row>
    <row r="215" spans="1:2" x14ac:dyDescent="0.25">
      <c r="A215" s="44"/>
      <c r="B215" s="44"/>
    </row>
    <row r="216" spans="1:2" x14ac:dyDescent="0.25">
      <c r="A216" s="44"/>
      <c r="B216" s="44"/>
    </row>
    <row r="217" spans="1:2" x14ac:dyDescent="0.25">
      <c r="A217" s="44"/>
      <c r="B217" s="44"/>
    </row>
    <row r="218" spans="1:2" x14ac:dyDescent="0.25">
      <c r="A218" s="44"/>
      <c r="B218" s="44"/>
    </row>
    <row r="219" spans="1:2" x14ac:dyDescent="0.25">
      <c r="A219" s="44"/>
      <c r="B219" s="44"/>
    </row>
    <row r="220" spans="1:2" x14ac:dyDescent="0.25">
      <c r="A220" s="44"/>
      <c r="B220" s="44"/>
    </row>
    <row r="221" spans="1:2" x14ac:dyDescent="0.25">
      <c r="A221" s="44"/>
      <c r="B221" s="44"/>
    </row>
    <row r="222" spans="1:2" x14ac:dyDescent="0.25">
      <c r="A222" s="44"/>
      <c r="B222" s="44"/>
    </row>
    <row r="223" spans="1:2" x14ac:dyDescent="0.25">
      <c r="A223" s="44"/>
      <c r="B223" s="44"/>
    </row>
    <row r="224" spans="1:2" x14ac:dyDescent="0.25">
      <c r="A224" s="44"/>
      <c r="B224" s="44"/>
    </row>
    <row r="225" spans="1:2" x14ac:dyDescent="0.25">
      <c r="A225" s="44"/>
      <c r="B225" s="44"/>
    </row>
    <row r="226" spans="1:2" x14ac:dyDescent="0.25">
      <c r="A226" s="44"/>
      <c r="B226" s="44"/>
    </row>
    <row r="227" spans="1:2" x14ac:dyDescent="0.25">
      <c r="A227" s="44"/>
      <c r="B227" s="44"/>
    </row>
    <row r="228" spans="1:2" x14ac:dyDescent="0.25">
      <c r="A228" s="44"/>
      <c r="B228" s="44"/>
    </row>
    <row r="229" spans="1:2" x14ac:dyDescent="0.25">
      <c r="A229" s="44"/>
      <c r="B229" s="44"/>
    </row>
    <row r="230" spans="1:2" x14ac:dyDescent="0.25">
      <c r="A230" s="44"/>
      <c r="B230" s="44"/>
    </row>
    <row r="231" spans="1:2" x14ac:dyDescent="0.25">
      <c r="A231" s="44"/>
      <c r="B231" s="44"/>
    </row>
    <row r="232" spans="1:2" x14ac:dyDescent="0.25">
      <c r="A232" s="44"/>
      <c r="B232" s="44"/>
    </row>
    <row r="233" spans="1:2" x14ac:dyDescent="0.25">
      <c r="A233" s="44"/>
      <c r="B233" s="44"/>
    </row>
    <row r="234" spans="1:2" x14ac:dyDescent="0.25">
      <c r="A234" s="44"/>
      <c r="B234" s="44"/>
    </row>
    <row r="235" spans="1:2" x14ac:dyDescent="0.25">
      <c r="A235" s="44"/>
      <c r="B235" s="44"/>
    </row>
    <row r="236" spans="1:2" x14ac:dyDescent="0.25">
      <c r="A236" s="44"/>
      <c r="B236" s="44"/>
    </row>
    <row r="237" spans="1:2" x14ac:dyDescent="0.25">
      <c r="A237" s="44"/>
      <c r="B237" s="44"/>
    </row>
    <row r="238" spans="1:2" x14ac:dyDescent="0.25">
      <c r="A238" s="44"/>
      <c r="B238" s="44"/>
    </row>
    <row r="239" spans="1:2" x14ac:dyDescent="0.25">
      <c r="A239" s="44"/>
      <c r="B239" s="44"/>
    </row>
    <row r="240" spans="1:2" x14ac:dyDescent="0.25">
      <c r="A240" s="44"/>
      <c r="B240" s="44"/>
    </row>
    <row r="241" spans="1:2" x14ac:dyDescent="0.25">
      <c r="A241" s="44"/>
      <c r="B241" s="44"/>
    </row>
    <row r="242" spans="1:2" x14ac:dyDescent="0.25">
      <c r="A242" s="44"/>
      <c r="B242" s="44"/>
    </row>
    <row r="243" spans="1:2" x14ac:dyDescent="0.25">
      <c r="A243" s="44"/>
      <c r="B243" s="44"/>
    </row>
    <row r="244" spans="1:2" x14ac:dyDescent="0.25">
      <c r="A244" s="44"/>
      <c r="B244" s="44"/>
    </row>
    <row r="245" spans="1:2" x14ac:dyDescent="0.25">
      <c r="A245" s="44"/>
      <c r="B245" s="44"/>
    </row>
    <row r="246" spans="1:2" x14ac:dyDescent="0.25">
      <c r="A246" s="44"/>
      <c r="B246" s="44"/>
    </row>
    <row r="247" spans="1:2" x14ac:dyDescent="0.25">
      <c r="A247" s="44"/>
      <c r="B247" s="44"/>
    </row>
    <row r="248" spans="1:2" x14ac:dyDescent="0.25">
      <c r="A248" s="44"/>
      <c r="B248" s="44"/>
    </row>
    <row r="249" spans="1:2" x14ac:dyDescent="0.25">
      <c r="A249" s="44"/>
      <c r="B249" s="44"/>
    </row>
    <row r="250" spans="1:2" x14ac:dyDescent="0.25">
      <c r="A250" s="44"/>
      <c r="B250" s="44"/>
    </row>
    <row r="251" spans="1:2" x14ac:dyDescent="0.25">
      <c r="A251" s="44"/>
      <c r="B251" s="44"/>
    </row>
    <row r="252" spans="1:2" x14ac:dyDescent="0.25">
      <c r="A252" s="44"/>
      <c r="B252" s="44"/>
    </row>
    <row r="253" spans="1:2" x14ac:dyDescent="0.25">
      <c r="A253" s="44"/>
      <c r="B253" s="44"/>
    </row>
    <row r="254" spans="1:2" x14ac:dyDescent="0.25">
      <c r="A254" s="44"/>
      <c r="B254" s="44"/>
    </row>
    <row r="255" spans="1:2" x14ac:dyDescent="0.25">
      <c r="A255" s="44"/>
      <c r="B255" s="44"/>
    </row>
    <row r="256" spans="1:2" x14ac:dyDescent="0.25">
      <c r="A256" s="44"/>
      <c r="B256" s="44"/>
    </row>
    <row r="257" spans="1:2" x14ac:dyDescent="0.25">
      <c r="A257" s="44"/>
      <c r="B257" s="44"/>
    </row>
    <row r="258" spans="1:2" x14ac:dyDescent="0.25">
      <c r="A258" s="44"/>
      <c r="B258" s="44"/>
    </row>
    <row r="259" spans="1:2" x14ac:dyDescent="0.25">
      <c r="A259" s="44"/>
      <c r="B259" s="44"/>
    </row>
    <row r="260" spans="1:2" x14ac:dyDescent="0.25">
      <c r="A260" s="44"/>
      <c r="B260" s="44"/>
    </row>
    <row r="261" spans="1:2" x14ac:dyDescent="0.25">
      <c r="A261" s="44"/>
      <c r="B261" s="44"/>
    </row>
    <row r="262" spans="1:2" x14ac:dyDescent="0.25">
      <c r="A262" s="44"/>
      <c r="B262" s="44"/>
    </row>
    <row r="263" spans="1:2" x14ac:dyDescent="0.25">
      <c r="A263" s="44"/>
      <c r="B263" s="44"/>
    </row>
    <row r="264" spans="1:2" x14ac:dyDescent="0.25">
      <c r="A264" s="44"/>
      <c r="B264" s="44"/>
    </row>
    <row r="265" spans="1:2" x14ac:dyDescent="0.25">
      <c r="A265" s="44"/>
      <c r="B265" s="44"/>
    </row>
    <row r="266" spans="1:2" x14ac:dyDescent="0.25">
      <c r="A266" s="44"/>
      <c r="B266" s="44"/>
    </row>
    <row r="267" spans="1:2" x14ac:dyDescent="0.25">
      <c r="A267" s="44"/>
      <c r="B267" s="44"/>
    </row>
    <row r="268" spans="1:2" x14ac:dyDescent="0.25">
      <c r="A268" s="44"/>
      <c r="B268" s="44"/>
    </row>
    <row r="269" spans="1:2" x14ac:dyDescent="0.25">
      <c r="A269" s="44"/>
      <c r="B269" s="44"/>
    </row>
    <row r="270" spans="1:2" x14ac:dyDescent="0.25">
      <c r="A270" s="44"/>
      <c r="B270" s="44"/>
    </row>
    <row r="271" spans="1:2" x14ac:dyDescent="0.25">
      <c r="A271" s="44"/>
      <c r="B271" s="44"/>
    </row>
    <row r="272" spans="1:2" x14ac:dyDescent="0.25">
      <c r="A272" s="44"/>
      <c r="B272" s="44"/>
    </row>
    <row r="273" spans="1:2" x14ac:dyDescent="0.25">
      <c r="A273" s="44"/>
      <c r="B273" s="44"/>
    </row>
    <row r="274" spans="1:2" x14ac:dyDescent="0.25">
      <c r="A274" s="44"/>
      <c r="B274" s="44"/>
    </row>
    <row r="275" spans="1:2" x14ac:dyDescent="0.25">
      <c r="A275" s="44"/>
      <c r="B275" s="44"/>
    </row>
    <row r="276" spans="1:2" x14ac:dyDescent="0.25">
      <c r="A276" s="44"/>
      <c r="B276" s="44"/>
    </row>
    <row r="277" spans="1:2" x14ac:dyDescent="0.25">
      <c r="A277" s="44"/>
      <c r="B277" s="44"/>
    </row>
    <row r="278" spans="1:2" x14ac:dyDescent="0.25">
      <c r="A278" s="44"/>
      <c r="B278" s="44"/>
    </row>
    <row r="279" spans="1:2" x14ac:dyDescent="0.25">
      <c r="A279" s="44"/>
      <c r="B279" s="44"/>
    </row>
    <row r="280" spans="1:2" x14ac:dyDescent="0.25">
      <c r="A280" s="44"/>
      <c r="B280" s="44"/>
    </row>
    <row r="281" spans="1:2" x14ac:dyDescent="0.25">
      <c r="A281" s="44"/>
      <c r="B281" s="44"/>
    </row>
    <row r="282" spans="1:2" x14ac:dyDescent="0.25">
      <c r="A282" s="44"/>
      <c r="B282" s="44"/>
    </row>
    <row r="283" spans="1:2" x14ac:dyDescent="0.25">
      <c r="A283" s="44"/>
      <c r="B283" s="44"/>
    </row>
    <row r="284" spans="1:2" x14ac:dyDescent="0.25">
      <c r="A284" s="44"/>
      <c r="B284" s="44"/>
    </row>
    <row r="285" spans="1:2" x14ac:dyDescent="0.25">
      <c r="A285" s="44"/>
      <c r="B285" s="44"/>
    </row>
    <row r="286" spans="1:2" x14ac:dyDescent="0.25">
      <c r="A286" s="44"/>
      <c r="B286" s="44"/>
    </row>
    <row r="287" spans="1:2" x14ac:dyDescent="0.25">
      <c r="A287" s="44"/>
      <c r="B287" s="44"/>
    </row>
    <row r="288" spans="1:2" x14ac:dyDescent="0.25">
      <c r="A288" s="44"/>
      <c r="B288" s="44"/>
    </row>
    <row r="289" spans="1:2" x14ac:dyDescent="0.25">
      <c r="A289" s="44"/>
      <c r="B289" s="44"/>
    </row>
    <row r="290" spans="1:2" x14ac:dyDescent="0.25">
      <c r="A290" s="44"/>
      <c r="B290" s="44"/>
    </row>
    <row r="291" spans="1:2" x14ac:dyDescent="0.25">
      <c r="A291" s="44"/>
      <c r="B291" s="44"/>
    </row>
    <row r="292" spans="1:2" x14ac:dyDescent="0.25">
      <c r="A292" s="44"/>
      <c r="B292" s="44"/>
    </row>
    <row r="293" spans="1:2" x14ac:dyDescent="0.25">
      <c r="A293" s="44"/>
      <c r="B293" s="44"/>
    </row>
    <row r="294" spans="1:2" x14ac:dyDescent="0.25">
      <c r="A294" s="44"/>
      <c r="B294" s="44"/>
    </row>
    <row r="295" spans="1:2" x14ac:dyDescent="0.25">
      <c r="A295" s="44"/>
      <c r="B295" s="44"/>
    </row>
    <row r="296" spans="1:2" x14ac:dyDescent="0.25">
      <c r="A296" s="44"/>
      <c r="B296" s="44"/>
    </row>
    <row r="297" spans="1:2" x14ac:dyDescent="0.25">
      <c r="A297" s="44"/>
      <c r="B297" s="44"/>
    </row>
    <row r="298" spans="1:2" x14ac:dyDescent="0.25">
      <c r="A298" s="44"/>
      <c r="B298" s="44"/>
    </row>
    <row r="299" spans="1:2" x14ac:dyDescent="0.25">
      <c r="A299" s="44"/>
      <c r="B299" s="44"/>
    </row>
    <row r="300" spans="1:2" x14ac:dyDescent="0.25">
      <c r="A300" s="44"/>
      <c r="B300" s="44"/>
    </row>
    <row r="301" spans="1:2" x14ac:dyDescent="0.25">
      <c r="A301" s="44"/>
      <c r="B301" s="44"/>
    </row>
    <row r="302" spans="1:2" x14ac:dyDescent="0.25">
      <c r="A302" s="44"/>
      <c r="B302" s="44"/>
    </row>
    <row r="303" spans="1:2" x14ac:dyDescent="0.25">
      <c r="A303" s="44"/>
      <c r="B303" s="44"/>
    </row>
    <row r="304" spans="1:2" x14ac:dyDescent="0.25">
      <c r="A304" s="44"/>
      <c r="B304" s="44"/>
    </row>
    <row r="305" spans="1:2" x14ac:dyDescent="0.25">
      <c r="A305" s="44"/>
      <c r="B305" s="44"/>
    </row>
    <row r="306" spans="1:2" x14ac:dyDescent="0.25">
      <c r="A306" s="44"/>
      <c r="B306" s="44"/>
    </row>
    <row r="307" spans="1:2" x14ac:dyDescent="0.25">
      <c r="A307" s="44"/>
      <c r="B307" s="44"/>
    </row>
    <row r="308" spans="1:2" x14ac:dyDescent="0.25">
      <c r="A308" s="44"/>
      <c r="B308" s="44"/>
    </row>
    <row r="309" spans="1:2" x14ac:dyDescent="0.25">
      <c r="A309" s="44"/>
      <c r="B309" s="44"/>
    </row>
    <row r="310" spans="1:2" x14ac:dyDescent="0.25">
      <c r="A310" s="44"/>
      <c r="B310" s="44"/>
    </row>
    <row r="311" spans="1:2" x14ac:dyDescent="0.25">
      <c r="A311" s="44"/>
      <c r="B311" s="44"/>
    </row>
    <row r="312" spans="1:2" x14ac:dyDescent="0.25">
      <c r="A312" s="44"/>
      <c r="B312" s="44"/>
    </row>
    <row r="313" spans="1:2" x14ac:dyDescent="0.25">
      <c r="A313" s="44"/>
      <c r="B313" s="44"/>
    </row>
    <row r="314" spans="1:2" x14ac:dyDescent="0.25">
      <c r="A314" s="44"/>
      <c r="B314" s="44"/>
    </row>
    <row r="315" spans="1:2" x14ac:dyDescent="0.25">
      <c r="A315" s="44"/>
      <c r="B315" s="44"/>
    </row>
    <row r="316" spans="1:2" x14ac:dyDescent="0.25">
      <c r="A316" s="44"/>
      <c r="B316" s="44"/>
    </row>
    <row r="317" spans="1:2" x14ac:dyDescent="0.25">
      <c r="A317" s="44"/>
      <c r="B317" s="44"/>
    </row>
    <row r="318" spans="1:2" x14ac:dyDescent="0.25">
      <c r="A318" s="44"/>
      <c r="B318" s="44"/>
    </row>
    <row r="319" spans="1:2" x14ac:dyDescent="0.25">
      <c r="A319" s="44"/>
      <c r="B319" s="44"/>
    </row>
    <row r="320" spans="1:2" x14ac:dyDescent="0.25">
      <c r="A320" s="44"/>
      <c r="B320" s="44"/>
    </row>
    <row r="321" spans="1:2" x14ac:dyDescent="0.25">
      <c r="A321" s="44"/>
      <c r="B321" s="44"/>
    </row>
    <row r="322" spans="1:2" x14ac:dyDescent="0.25">
      <c r="A322" s="44"/>
      <c r="B322" s="44"/>
    </row>
    <row r="323" spans="1:2" x14ac:dyDescent="0.25">
      <c r="A323" s="44"/>
      <c r="B323" s="44"/>
    </row>
    <row r="324" spans="1:2" x14ac:dyDescent="0.25">
      <c r="A324" s="44"/>
      <c r="B324" s="44"/>
    </row>
    <row r="325" spans="1:2" x14ac:dyDescent="0.25">
      <c r="A325" s="44"/>
      <c r="B325" s="44"/>
    </row>
    <row r="326" spans="1:2" x14ac:dyDescent="0.25">
      <c r="A326" s="44"/>
      <c r="B326" s="44"/>
    </row>
    <row r="327" spans="1:2" x14ac:dyDescent="0.25">
      <c r="A327" s="44"/>
      <c r="B327" s="44"/>
    </row>
    <row r="328" spans="1:2" x14ac:dyDescent="0.25">
      <c r="A328" s="44"/>
      <c r="B328" s="44"/>
    </row>
    <row r="329" spans="1:2" x14ac:dyDescent="0.25">
      <c r="A329" s="44"/>
      <c r="B329" s="44"/>
    </row>
    <row r="330" spans="1:2" x14ac:dyDescent="0.25">
      <c r="A330" s="44"/>
      <c r="B330" s="44"/>
    </row>
    <row r="331" spans="1:2" x14ac:dyDescent="0.25">
      <c r="A331" s="44"/>
      <c r="B331" s="44"/>
    </row>
    <row r="332" spans="1:2" x14ac:dyDescent="0.25">
      <c r="A332" s="44"/>
      <c r="B332" s="44"/>
    </row>
    <row r="333" spans="1:2" x14ac:dyDescent="0.25">
      <c r="A333" s="44"/>
      <c r="B333" s="44"/>
    </row>
    <row r="334" spans="1:2" x14ac:dyDescent="0.25">
      <c r="A334" s="44"/>
      <c r="B334" s="44"/>
    </row>
    <row r="335" spans="1:2" x14ac:dyDescent="0.25">
      <c r="A335" s="44"/>
      <c r="B335" s="44"/>
    </row>
    <row r="336" spans="1:2" x14ac:dyDescent="0.25">
      <c r="A336" s="44"/>
      <c r="B336" s="44"/>
    </row>
    <row r="337" spans="1:2" x14ac:dyDescent="0.25">
      <c r="A337" s="44"/>
      <c r="B337" s="44"/>
    </row>
    <row r="338" spans="1:2" x14ac:dyDescent="0.25">
      <c r="A338" s="44"/>
      <c r="B338" s="44"/>
    </row>
    <row r="339" spans="1:2" x14ac:dyDescent="0.25">
      <c r="A339" s="44"/>
      <c r="B339" s="44"/>
    </row>
    <row r="340" spans="1:2" x14ac:dyDescent="0.25">
      <c r="A340" s="44"/>
      <c r="B340" s="44"/>
    </row>
    <row r="341" spans="1:2" x14ac:dyDescent="0.25">
      <c r="A341" s="44"/>
      <c r="B341" s="44"/>
    </row>
    <row r="342" spans="1:2" x14ac:dyDescent="0.25">
      <c r="A342" s="44"/>
      <c r="B342" s="44"/>
    </row>
    <row r="343" spans="1:2" x14ac:dyDescent="0.25">
      <c r="A343" s="44"/>
      <c r="B343" s="44"/>
    </row>
    <row r="344" spans="1:2" x14ac:dyDescent="0.25">
      <c r="A344" s="44"/>
      <c r="B344" s="44"/>
    </row>
    <row r="345" spans="1:2" x14ac:dyDescent="0.25">
      <c r="A345" s="44"/>
      <c r="B345" s="44"/>
    </row>
    <row r="346" spans="1:2" x14ac:dyDescent="0.25">
      <c r="A346" s="44"/>
      <c r="B346" s="44"/>
    </row>
    <row r="347" spans="1:2" x14ac:dyDescent="0.25">
      <c r="A347" s="44"/>
      <c r="B347" s="44"/>
    </row>
    <row r="348" spans="1:2" x14ac:dyDescent="0.25">
      <c r="A348" s="44"/>
      <c r="B348" s="44"/>
    </row>
    <row r="349" spans="1:2" x14ac:dyDescent="0.25">
      <c r="A349" s="44"/>
      <c r="B349" s="44"/>
    </row>
    <row r="350" spans="1:2" x14ac:dyDescent="0.25">
      <c r="A350" s="44"/>
      <c r="B350" s="44"/>
    </row>
    <row r="351" spans="1:2" x14ac:dyDescent="0.25">
      <c r="A351" s="44"/>
      <c r="B351" s="44"/>
    </row>
    <row r="352" spans="1:2" x14ac:dyDescent="0.25">
      <c r="A352" s="44"/>
      <c r="B352" s="44"/>
    </row>
    <row r="353" spans="1:2" x14ac:dyDescent="0.25">
      <c r="A353" s="44"/>
      <c r="B353" s="44"/>
    </row>
    <row r="354" spans="1:2" x14ac:dyDescent="0.25">
      <c r="A354" s="44"/>
      <c r="B354" s="44"/>
    </row>
    <row r="355" spans="1:2" x14ac:dyDescent="0.25">
      <c r="A355" s="44"/>
      <c r="B355" s="44"/>
    </row>
    <row r="356" spans="1:2" x14ac:dyDescent="0.25">
      <c r="A356" s="44"/>
      <c r="B356" s="44"/>
    </row>
    <row r="357" spans="1:2" x14ac:dyDescent="0.25">
      <c r="A357" s="44"/>
      <c r="B357" s="44"/>
    </row>
    <row r="358" spans="1:2" x14ac:dyDescent="0.25">
      <c r="A358" s="44"/>
      <c r="B358" s="44"/>
    </row>
    <row r="359" spans="1:2" x14ac:dyDescent="0.25">
      <c r="A359" s="44"/>
      <c r="B359" s="44"/>
    </row>
    <row r="360" spans="1:2" x14ac:dyDescent="0.25">
      <c r="A360" s="44"/>
      <c r="B360" s="44"/>
    </row>
    <row r="361" spans="1:2" x14ac:dyDescent="0.25">
      <c r="A361" s="44"/>
      <c r="B361" s="44"/>
    </row>
    <row r="362" spans="1:2" x14ac:dyDescent="0.25">
      <c r="A362" s="44"/>
      <c r="B362" s="44"/>
    </row>
    <row r="363" spans="1:2" x14ac:dyDescent="0.25">
      <c r="A363" s="44"/>
      <c r="B363" s="44"/>
    </row>
    <row r="364" spans="1:2" x14ac:dyDescent="0.25">
      <c r="A364" s="44"/>
      <c r="B364" s="44"/>
    </row>
    <row r="365" spans="1:2" x14ac:dyDescent="0.25">
      <c r="A365" s="44"/>
      <c r="B365" s="44"/>
    </row>
    <row r="366" spans="1:2" x14ac:dyDescent="0.25">
      <c r="A366" s="44"/>
      <c r="B366" s="4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Description</vt:lpstr>
      <vt:lpstr>Updated PPP - Calculation (NEW)</vt:lpstr>
      <vt:lpstr>Current PPP - Calculation (NEW)</vt:lpstr>
      <vt:lpstr>EE Calculation NEW</vt:lpstr>
      <vt:lpstr>EE Summary</vt:lpstr>
      <vt:lpstr>SGIP Calculation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Corrigan, Kaitlin J</dc:creator>
  <cp:lastModifiedBy>Montanez, Jennifer - E&amp;FP</cp:lastModifiedBy>
  <dcterms:created xsi:type="dcterms:W3CDTF">2015-04-16T16:31:08Z</dcterms:created>
  <dcterms:modified xsi:type="dcterms:W3CDTF">2020-03-11T17:35:53Z</dcterms:modified>
</cp:coreProperties>
</file>